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DCG1B_2024\bgokkayak\"/>
    </mc:Choice>
  </mc:AlternateContent>
  <bookViews>
    <workbookView xWindow="0" yWindow="0" windowWidth="21570" windowHeight="8085" tabRatio="500" firstSheet="1" activeTab="4"/>
  </bookViews>
  <sheets>
    <sheet name="exo 1 fiche récapitulative" sheetId="8" r:id="rId1"/>
    <sheet name="exo 1 données" sheetId="9" r:id="rId2"/>
    <sheet name="cas2 - facture" sheetId="3" r:id="rId3"/>
    <sheet name="cas2  données" sheetId="4" r:id="rId4"/>
    <sheet name="cas 3 facturation" sheetId="5" r:id="rId5"/>
    <sheet name="cas 3 données" sheetId="6" r:id="rId6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5" l="1"/>
  <c r="C49" i="5"/>
  <c r="C48" i="5"/>
  <c r="C47" i="5"/>
  <c r="C46" i="5"/>
  <c r="C45" i="5"/>
  <c r="C44" i="5"/>
  <c r="E40" i="5"/>
  <c r="E37" i="5"/>
  <c r="E39" i="5"/>
  <c r="E36" i="5"/>
  <c r="C36" i="5"/>
  <c r="C37" i="5"/>
  <c r="C38" i="5"/>
  <c r="D32" i="5"/>
  <c r="D30" i="5"/>
  <c r="D29" i="5"/>
  <c r="B29" i="5"/>
  <c r="B30" i="5"/>
  <c r="I25" i="5"/>
  <c r="I22" i="5"/>
  <c r="I21" i="5"/>
  <c r="G22" i="5"/>
  <c r="G21" i="5"/>
  <c r="F22" i="5"/>
  <c r="F23" i="5"/>
  <c r="F21" i="5"/>
  <c r="E21" i="5"/>
  <c r="E22" i="5"/>
  <c r="E23" i="5"/>
  <c r="C23" i="5"/>
  <c r="C22" i="5"/>
  <c r="C21" i="5"/>
  <c r="E17" i="5" l="1"/>
  <c r="E15" i="5"/>
  <c r="D15" i="5"/>
  <c r="C15" i="5"/>
  <c r="E11" i="5"/>
  <c r="E12" i="5"/>
  <c r="E13" i="5"/>
  <c r="E14" i="5"/>
  <c r="E10" i="5"/>
  <c r="D11" i="5"/>
  <c r="D12" i="5"/>
  <c r="D13" i="5"/>
  <c r="D14" i="5"/>
  <c r="D10" i="5"/>
  <c r="C11" i="5"/>
  <c r="C12" i="5"/>
  <c r="C13" i="5"/>
  <c r="C14" i="5"/>
  <c r="C10" i="5"/>
  <c r="B11" i="5"/>
  <c r="B12" i="5"/>
  <c r="B13" i="5"/>
  <c r="B14" i="5"/>
  <c r="B15" i="5"/>
  <c r="B10" i="5"/>
  <c r="F35" i="3"/>
  <c r="F33" i="3"/>
  <c r="F31" i="3"/>
  <c r="F30" i="3"/>
  <c r="C30" i="3"/>
  <c r="F28" i="3"/>
  <c r="F27" i="3"/>
  <c r="C27" i="3"/>
  <c r="F17" i="3"/>
  <c r="F25" i="3"/>
  <c r="F18" i="3"/>
  <c r="F15" i="3"/>
  <c r="F16" i="3"/>
  <c r="F14" i="3"/>
  <c r="D15" i="3"/>
  <c r="E15" i="3" s="1"/>
  <c r="D16" i="3"/>
  <c r="E16" i="3" s="1"/>
  <c r="D17" i="3"/>
  <c r="E17" i="3" s="1"/>
  <c r="D18" i="3"/>
  <c r="E18" i="3" s="1"/>
  <c r="D14" i="3"/>
  <c r="E14" i="3" s="1"/>
  <c r="B18" i="3" l="1"/>
  <c r="B15" i="3"/>
  <c r="B16" i="3"/>
  <c r="B17" i="3"/>
  <c r="B14" i="3"/>
  <c r="B11" i="3"/>
  <c r="D8" i="3"/>
  <c r="B7" i="8"/>
  <c r="B6" i="8"/>
  <c r="B5" i="8" l="1"/>
  <c r="B4" i="8"/>
</calcChain>
</file>

<file path=xl/sharedStrings.xml><?xml version="1.0" encoding="utf-8"?>
<sst xmlns="http://schemas.openxmlformats.org/spreadsheetml/2006/main" count="315" uniqueCount="221">
  <si>
    <t>Fiche récapitulative</t>
  </si>
  <si>
    <t>Matricule salarié :</t>
  </si>
  <si>
    <t>M005</t>
  </si>
  <si>
    <t>Nom salarié :</t>
  </si>
  <si>
    <t>Prénom salarié :</t>
  </si>
  <si>
    <t>Nom du service :</t>
  </si>
  <si>
    <t>Type de contrat :</t>
  </si>
  <si>
    <t>Tableau des salariés</t>
  </si>
  <si>
    <t>Tableau des services</t>
  </si>
  <si>
    <t>Tableau des contrats</t>
  </si>
  <si>
    <t>Matricule salarié</t>
  </si>
  <si>
    <t>Nom</t>
  </si>
  <si>
    <t>Prénom</t>
  </si>
  <si>
    <t>Service d'affectation</t>
  </si>
  <si>
    <t>Code contrat</t>
  </si>
  <si>
    <t>Code service</t>
  </si>
  <si>
    <t>Nom service</t>
  </si>
  <si>
    <t>Type de contrat</t>
  </si>
  <si>
    <t>M001</t>
  </si>
  <si>
    <t>Arliaud</t>
  </si>
  <si>
    <t>Vincent</t>
  </si>
  <si>
    <t>T1</t>
  </si>
  <si>
    <t>S1</t>
  </si>
  <si>
    <t>Approvisionnement</t>
  </si>
  <si>
    <t>Temps complet</t>
  </si>
  <si>
    <t>M002</t>
  </si>
  <si>
    <t>Belzunc</t>
  </si>
  <si>
    <t>Jacques</t>
  </si>
  <si>
    <t>T2</t>
  </si>
  <si>
    <t>Production</t>
  </si>
  <si>
    <t>S2</t>
  </si>
  <si>
    <t>Temps partiel 80%</t>
  </si>
  <si>
    <t>M003</t>
  </si>
  <si>
    <t>Boulay</t>
  </si>
  <si>
    <t>Olivier</t>
  </si>
  <si>
    <t>T3</t>
  </si>
  <si>
    <t>Commercialisation</t>
  </si>
  <si>
    <t>S3</t>
  </si>
  <si>
    <t>Temps partiel 50%</t>
  </si>
  <si>
    <t>M004</t>
  </si>
  <si>
    <t>Boussy</t>
  </si>
  <si>
    <t>Marie</t>
  </si>
  <si>
    <t>T4</t>
  </si>
  <si>
    <t>Admistration Générale</t>
  </si>
  <si>
    <t>Chantefort</t>
  </si>
  <si>
    <t>Auriane</t>
  </si>
  <si>
    <t>M006</t>
  </si>
  <si>
    <t>Couson</t>
  </si>
  <si>
    <t>Clément</t>
  </si>
  <si>
    <t>M007</t>
  </si>
  <si>
    <t>Dejeorg</t>
  </si>
  <si>
    <t>Louis</t>
  </si>
  <si>
    <t>M008</t>
  </si>
  <si>
    <t>Duhamel</t>
  </si>
  <si>
    <t>Paula</t>
  </si>
  <si>
    <t>M009</t>
  </si>
  <si>
    <t>Ibanez</t>
  </si>
  <si>
    <t>Lisa</t>
  </si>
  <si>
    <t>Facture</t>
  </si>
  <si>
    <t>Société Coccinelle</t>
  </si>
  <si>
    <t>4 rue du Bournard</t>
  </si>
  <si>
    <t>92700 Colombes</t>
  </si>
  <si>
    <t>Date:</t>
  </si>
  <si>
    <t>N° Facture :</t>
  </si>
  <si>
    <t>456/01</t>
  </si>
  <si>
    <t>n°client:</t>
  </si>
  <si>
    <t>N° Commande :</t>
  </si>
  <si>
    <t>nom client:</t>
  </si>
  <si>
    <t>Type de paiement:</t>
  </si>
  <si>
    <t>Référence</t>
  </si>
  <si>
    <t>Désignation</t>
  </si>
  <si>
    <t>Quantité</t>
  </si>
  <si>
    <t>Prix unitaire</t>
  </si>
  <si>
    <t>Prix remisé</t>
  </si>
  <si>
    <t>Montant</t>
  </si>
  <si>
    <t>P1</t>
  </si>
  <si>
    <t>P2</t>
  </si>
  <si>
    <t>P4</t>
  </si>
  <si>
    <t>P5</t>
  </si>
  <si>
    <t>P7</t>
  </si>
  <si>
    <t>Total H.T.</t>
  </si>
  <si>
    <t>Remise</t>
  </si>
  <si>
    <t>Net commercial</t>
  </si>
  <si>
    <t>Escompte de règlement</t>
  </si>
  <si>
    <t>Net financier</t>
  </si>
  <si>
    <t>T.V.A.</t>
  </si>
  <si>
    <t>Net T.T.C.</t>
  </si>
  <si>
    <t>TABLE DES CLIENTS</t>
  </si>
  <si>
    <t>N°</t>
  </si>
  <si>
    <t>Adresse</t>
  </si>
  <si>
    <t>CP et ville</t>
  </si>
  <si>
    <t>Pays</t>
  </si>
  <si>
    <t>Paiement</t>
  </si>
  <si>
    <t>Code type remise</t>
  </si>
  <si>
    <t>S.A. Boda</t>
  </si>
  <si>
    <t>8 rue de la République</t>
  </si>
  <si>
    <t>80000 Amiens</t>
  </si>
  <si>
    <t>France</t>
  </si>
  <si>
    <t>Comptant</t>
  </si>
  <si>
    <t>A</t>
  </si>
  <si>
    <t>S.A. Sterix</t>
  </si>
  <si>
    <t>10 allée du Parc</t>
  </si>
  <si>
    <t>60200 Compiègne</t>
  </si>
  <si>
    <t>S.A. Libaba</t>
  </si>
  <si>
    <t>rue Taragona</t>
  </si>
  <si>
    <t>Tanger</t>
  </si>
  <si>
    <t>Maroc</t>
  </si>
  <si>
    <t>Crédit 90 j</t>
  </si>
  <si>
    <t>C</t>
  </si>
  <si>
    <t>S.A. Chot</t>
  </si>
  <si>
    <t>Central Park</t>
  </si>
  <si>
    <t>New-York</t>
  </si>
  <si>
    <t>USA</t>
  </si>
  <si>
    <t>Crédit 60 j</t>
  </si>
  <si>
    <t>D</t>
  </si>
  <si>
    <t>S.A. Froid</t>
  </si>
  <si>
    <t>Bassin de la Sirène</t>
  </si>
  <si>
    <t>Copenhague</t>
  </si>
  <si>
    <t>Danemark</t>
  </si>
  <si>
    <t>S.A. Ligator</t>
  </si>
  <si>
    <t>6 allée du lac</t>
  </si>
  <si>
    <t>60500 Chantilly</t>
  </si>
  <si>
    <t>B</t>
  </si>
  <si>
    <t>S.A. Baigne</t>
  </si>
  <si>
    <t>Grande rue</t>
  </si>
  <si>
    <t>60675 Blaincourt</t>
  </si>
  <si>
    <t>TABLE DES PRODUITS</t>
  </si>
  <si>
    <t>Four encastrable Panasonic 361</t>
  </si>
  <si>
    <t>Four encastrable Moulinex 381</t>
  </si>
  <si>
    <t>P3</t>
  </si>
  <si>
    <t>Four classique Whirpool 541</t>
  </si>
  <si>
    <t>Four classique Samsung 521</t>
  </si>
  <si>
    <t>Four classique Samsung 661</t>
  </si>
  <si>
    <t>P6</t>
  </si>
  <si>
    <t>Four classique Moulinex 661</t>
  </si>
  <si>
    <t>TABLES REMISES</t>
  </si>
  <si>
    <t>Taux de remise</t>
  </si>
  <si>
    <t>TVA</t>
  </si>
  <si>
    <t>Simulation de tarification</t>
  </si>
  <si>
    <t>Renseignements concernant le client :</t>
  </si>
  <si>
    <t>Nom :</t>
  </si>
  <si>
    <t>Tavernier</t>
  </si>
  <si>
    <t>Prenom :</t>
  </si>
  <si>
    <t>Jean</t>
  </si>
  <si>
    <t>Client ancien (O/N) :</t>
  </si>
  <si>
    <t>O</t>
  </si>
  <si>
    <t>APPARTEMENTS</t>
  </si>
  <si>
    <t>Numero appartement</t>
  </si>
  <si>
    <t>Residence</t>
  </si>
  <si>
    <t>Etage</t>
  </si>
  <si>
    <t>Type</t>
  </si>
  <si>
    <t>Prix achat base</t>
  </si>
  <si>
    <t>A08</t>
  </si>
  <si>
    <t>A07</t>
  </si>
  <si>
    <t>A10</t>
  </si>
  <si>
    <t>B03</t>
  </si>
  <si>
    <t>B05</t>
  </si>
  <si>
    <t>BN6</t>
  </si>
  <si>
    <t>Total prix appartements</t>
  </si>
  <si>
    <t>OPTIONS</t>
  </si>
  <si>
    <t>N° option</t>
  </si>
  <si>
    <t>Libellé option</t>
  </si>
  <si>
    <t>Reference fourniture</t>
  </si>
  <si>
    <t>Tarif pose m²</t>
  </si>
  <si>
    <t>Tarif fournitures</t>
  </si>
  <si>
    <t>Prix total</t>
  </si>
  <si>
    <t>Surface</t>
  </si>
  <si>
    <t>Total</t>
  </si>
  <si>
    <t>car1</t>
  </si>
  <si>
    <t>car2</t>
  </si>
  <si>
    <t>Total prix options</t>
  </si>
  <si>
    <t>ANNEXES</t>
  </si>
  <si>
    <t>Parkings</t>
  </si>
  <si>
    <t>Numéro appartement</t>
  </si>
  <si>
    <t>Prix parking</t>
  </si>
  <si>
    <t>Quantité parking</t>
  </si>
  <si>
    <t>Garages</t>
  </si>
  <si>
    <t>Type garage</t>
  </si>
  <si>
    <t>Prix garage</t>
  </si>
  <si>
    <t>Simple</t>
  </si>
  <si>
    <t>Double</t>
  </si>
  <si>
    <t>Recapitulatif proposition de vente</t>
  </si>
  <si>
    <t>Elements</t>
  </si>
  <si>
    <t>Appartements</t>
  </si>
  <si>
    <t>Options</t>
  </si>
  <si>
    <t>Total avant remise</t>
  </si>
  <si>
    <t>Montant a payer</t>
  </si>
  <si>
    <t>Liste des appartements</t>
  </si>
  <si>
    <t>Liste résidence</t>
  </si>
  <si>
    <t>Numero residence</t>
  </si>
  <si>
    <t>Numéro résidence</t>
  </si>
  <si>
    <t>Nom résidence</t>
  </si>
  <si>
    <t>A01</t>
  </si>
  <si>
    <t>Amérique</t>
  </si>
  <si>
    <t>A02</t>
  </si>
  <si>
    <t>Bellevue</t>
  </si>
  <si>
    <t>A03</t>
  </si>
  <si>
    <t>A04</t>
  </si>
  <si>
    <t>Tarif pose des revetements (en euros)</t>
  </si>
  <si>
    <t>A05</t>
  </si>
  <si>
    <t>A06</t>
  </si>
  <si>
    <t>carrelage</t>
  </si>
  <si>
    <t>parquet</t>
  </si>
  <si>
    <t>A09</t>
  </si>
  <si>
    <t>Tarif des revetements (en euros)</t>
  </si>
  <si>
    <t>ref fourn.</t>
  </si>
  <si>
    <t>Libellé</t>
  </si>
  <si>
    <r>
      <t>Tarif fourn./m</t>
    </r>
    <r>
      <rPr>
        <b/>
        <vertAlign val="superscript"/>
        <sz val="9"/>
        <color theme="1"/>
        <rFont val="Calibri (Corps)"/>
      </rPr>
      <t>2</t>
    </r>
  </si>
  <si>
    <t>B01</t>
  </si>
  <si>
    <t>1er prix</t>
  </si>
  <si>
    <t>B02</t>
  </si>
  <si>
    <t>standard</t>
  </si>
  <si>
    <t>B04</t>
  </si>
  <si>
    <t>Tarif des parkings (en euros)</t>
  </si>
  <si>
    <t>N° residence</t>
  </si>
  <si>
    <t>Prix</t>
  </si>
  <si>
    <t>Seuil remises</t>
  </si>
  <si>
    <t xml:space="preserve">Seuil </t>
  </si>
  <si>
    <t>Client ancien</t>
  </si>
  <si>
    <t>Client nouveau</t>
  </si>
  <si>
    <t>Tarif des garages (en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</si>
</sst>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3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b/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sz val="9"/>
      <color theme="1"/>
      <name val="Calibri"/>
      <scheme val="minor"/>
    </font>
    <font>
      <sz val="26"/>
      <name val="Calibri"/>
      <scheme val="minor"/>
    </font>
    <font>
      <b/>
      <sz val="9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vertAlign val="superscript"/>
      <sz val="9"/>
      <color theme="1"/>
      <name val="Calibri (Corps)"/>
    </font>
    <font>
      <b/>
      <u/>
      <sz val="12"/>
      <name val="Calibri"/>
      <scheme val="minor"/>
    </font>
    <font>
      <b/>
      <u/>
      <sz val="11"/>
      <name val="Calibri"/>
      <scheme val="minor"/>
    </font>
    <font>
      <b/>
      <u/>
      <sz val="1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rgb="FFCCCC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87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3" borderId="5" xfId="0" applyFont="1" applyFill="1" applyBorder="1"/>
    <xf numFmtId="0" fontId="6" fillId="3" borderId="11" xfId="0" applyFont="1" applyFill="1" applyBorder="1"/>
    <xf numFmtId="0" fontId="6" fillId="0" borderId="9" xfId="0" applyFont="1" applyBorder="1" applyAlignment="1">
      <alignment horizontal="center"/>
    </xf>
    <xf numFmtId="0" fontId="6" fillId="3" borderId="6" xfId="0" applyFont="1" applyFill="1" applyBorder="1"/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/>
    <xf numFmtId="10" fontId="6" fillId="3" borderId="0" xfId="0" applyNumberFormat="1" applyFont="1" applyFill="1"/>
    <xf numFmtId="10" fontId="6" fillId="0" borderId="0" xfId="0" applyNumberFormat="1" applyFont="1"/>
    <xf numFmtId="0" fontId="6" fillId="4" borderId="0" xfId="0" applyFont="1" applyFill="1"/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0" fillId="0" borderId="11" xfId="0" applyFont="1" applyBorder="1"/>
    <xf numFmtId="0" fontId="10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/>
    <xf numFmtId="0" fontId="10" fillId="0" borderId="7" xfId="0" applyFont="1" applyBorder="1"/>
    <xf numFmtId="0" fontId="10" fillId="0" borderId="6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0" borderId="0" xfId="0" applyFont="1"/>
    <xf numFmtId="44" fontId="10" fillId="0" borderId="10" xfId="1" applyFont="1" applyBorder="1"/>
    <xf numFmtId="44" fontId="10" fillId="0" borderId="8" xfId="1" applyFont="1" applyBorder="1"/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9" fontId="10" fillId="0" borderId="5" xfId="0" applyNumberFormat="1" applyFont="1" applyBorder="1" applyAlignment="1">
      <alignment horizontal="center"/>
    </xf>
    <xf numFmtId="9" fontId="10" fillId="0" borderId="11" xfId="0" applyNumberFormat="1" applyFont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10" fillId="2" borderId="1" xfId="0" applyFont="1" applyFill="1" applyBorder="1"/>
    <xf numFmtId="9" fontId="10" fillId="0" borderId="1" xfId="0" applyNumberFormat="1" applyFont="1" applyBorder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12" fillId="2" borderId="1" xfId="0" applyNumberFormat="1" applyFont="1" applyFill="1" applyBorder="1" applyAlignment="1">
      <alignment horizontal="center" vertical="distributed"/>
    </xf>
    <xf numFmtId="3" fontId="10" fillId="0" borderId="1" xfId="0" applyNumberFormat="1" applyFont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2" fillId="2" borderId="2" xfId="0" applyNumberFormat="1" applyFont="1" applyFill="1" applyBorder="1" applyAlignment="1">
      <alignment horizontal="center" vertical="distributed"/>
    </xf>
    <xf numFmtId="3" fontId="12" fillId="2" borderId="3" xfId="0" applyNumberFormat="1" applyFont="1" applyFill="1" applyBorder="1" applyAlignment="1">
      <alignment horizontal="center" vertical="distributed"/>
    </xf>
    <xf numFmtId="3" fontId="10" fillId="0" borderId="10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 wrapText="1"/>
    </xf>
    <xf numFmtId="3" fontId="10" fillId="0" borderId="5" xfId="0" applyNumberFormat="1" applyFont="1" applyBorder="1" applyAlignment="1">
      <alignment horizontal="center" wrapText="1"/>
    </xf>
    <xf numFmtId="3" fontId="10" fillId="0" borderId="9" xfId="0" applyNumberFormat="1" applyFont="1" applyBorder="1" applyAlignment="1">
      <alignment horizontal="center" wrapText="1"/>
    </xf>
    <xf numFmtId="3" fontId="10" fillId="0" borderId="6" xfId="0" applyNumberFormat="1" applyFont="1" applyBorder="1" applyAlignment="1">
      <alignment horizontal="center" wrapText="1"/>
    </xf>
    <xf numFmtId="3" fontId="10" fillId="0" borderId="14" xfId="0" applyNumberFormat="1" applyFont="1" applyBorder="1" applyAlignment="1">
      <alignment horizontal="center" wrapText="1"/>
    </xf>
    <xf numFmtId="3" fontId="10" fillId="0" borderId="8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3" fontId="13" fillId="2" borderId="2" xfId="0" applyNumberFormat="1" applyFont="1" applyFill="1" applyBorder="1" applyAlignment="1">
      <alignment horizontal="center" vertical="distributed"/>
    </xf>
    <xf numFmtId="3" fontId="13" fillId="2" borderId="1" xfId="0" applyNumberFormat="1" applyFont="1" applyFill="1" applyBorder="1" applyAlignment="1">
      <alignment horizontal="center" vertical="distributed"/>
    </xf>
    <xf numFmtId="3" fontId="13" fillId="2" borderId="3" xfId="0" applyNumberFormat="1" applyFont="1" applyFill="1" applyBorder="1" applyAlignment="1">
      <alignment horizontal="center" vertical="distributed"/>
    </xf>
    <xf numFmtId="3" fontId="13" fillId="2" borderId="4" xfId="0" applyNumberFormat="1" applyFont="1" applyFill="1" applyBorder="1" applyAlignment="1">
      <alignment horizontal="center" vertical="distributed"/>
    </xf>
    <xf numFmtId="3" fontId="8" fillId="2" borderId="12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3" fontId="8" fillId="4" borderId="0" xfId="0" applyNumberFormat="1" applyFont="1" applyFill="1" applyAlignment="1">
      <alignment horizontal="center"/>
    </xf>
    <xf numFmtId="3" fontId="8" fillId="4" borderId="11" xfId="0" applyNumberFormat="1" applyFont="1" applyFill="1" applyBorder="1" applyAlignment="1">
      <alignment horizontal="center"/>
    </xf>
    <xf numFmtId="3" fontId="8" fillId="4" borderId="10" xfId="0" applyNumberFormat="1" applyFont="1" applyFill="1" applyBorder="1"/>
    <xf numFmtId="3" fontId="8" fillId="2" borderId="9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4" borderId="7" xfId="0" applyNumberFormat="1" applyFont="1" applyFill="1" applyBorder="1" applyAlignment="1">
      <alignment horizontal="center"/>
    </xf>
    <xf numFmtId="3" fontId="8" fillId="4" borderId="6" xfId="0" applyNumberFormat="1" applyFont="1" applyFill="1" applyBorder="1" applyAlignment="1">
      <alignment horizontal="center"/>
    </xf>
    <xf numFmtId="3" fontId="8" fillId="4" borderId="8" xfId="0" applyNumberFormat="1" applyFont="1" applyFill="1" applyBorder="1"/>
    <xf numFmtId="3" fontId="8" fillId="0" borderId="0" xfId="0" applyNumberFormat="1" applyFont="1"/>
    <xf numFmtId="3" fontId="8" fillId="0" borderId="2" xfId="0" applyNumberFormat="1" applyFont="1" applyBorder="1"/>
    <xf numFmtId="3" fontId="8" fillId="0" borderId="3" xfId="0" applyNumberFormat="1" applyFont="1" applyBorder="1"/>
    <xf numFmtId="3" fontId="7" fillId="4" borderId="1" xfId="0" applyNumberFormat="1" applyFont="1" applyFill="1" applyBorder="1"/>
    <xf numFmtId="3" fontId="0" fillId="0" borderId="0" xfId="0" applyNumberFormat="1"/>
    <xf numFmtId="3" fontId="7" fillId="2" borderId="2" xfId="0" applyNumberFormat="1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8" fillId="4" borderId="6" xfId="0" applyNumberFormat="1" applyFont="1" applyFill="1" applyBorder="1"/>
    <xf numFmtId="3" fontId="8" fillId="2" borderId="18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2" borderId="22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3" fontId="8" fillId="2" borderId="15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4" fontId="8" fillId="4" borderId="20" xfId="0" applyNumberFormat="1" applyFont="1" applyFill="1" applyBorder="1"/>
    <xf numFmtId="4" fontId="8" fillId="4" borderId="19" xfId="0" applyNumberFormat="1" applyFont="1" applyFill="1" applyBorder="1"/>
    <xf numFmtId="3" fontId="8" fillId="4" borderId="5" xfId="0" applyNumberFormat="1" applyFont="1" applyFill="1" applyBorder="1"/>
    <xf numFmtId="3" fontId="8" fillId="0" borderId="9" xfId="0" applyNumberFormat="1" applyFont="1" applyBorder="1"/>
    <xf numFmtId="3" fontId="8" fillId="2" borderId="23" xfId="0" applyNumberFormat="1" applyFont="1" applyFill="1" applyBorder="1"/>
    <xf numFmtId="4" fontId="7" fillId="4" borderId="19" xfId="0" applyNumberFormat="1" applyFont="1" applyFill="1" applyBorder="1"/>
    <xf numFmtId="3" fontId="17" fillId="0" borderId="0" xfId="0" applyNumberFormat="1" applyFont="1"/>
    <xf numFmtId="3" fontId="18" fillId="0" borderId="0" xfId="0" applyNumberFormat="1" applyFont="1"/>
    <xf numFmtId="8" fontId="0" fillId="0" borderId="0" xfId="0" applyNumberFormat="1"/>
    <xf numFmtId="3" fontId="9" fillId="2" borderId="26" xfId="0" applyNumberFormat="1" applyFont="1" applyFill="1" applyBorder="1"/>
    <xf numFmtId="3" fontId="9" fillId="2" borderId="27" xfId="0" applyNumberFormat="1" applyFont="1" applyFill="1" applyBorder="1"/>
    <xf numFmtId="3" fontId="9" fillId="2" borderId="28" xfId="0" applyNumberFormat="1" applyFont="1" applyFill="1" applyBorder="1"/>
    <xf numFmtId="3" fontId="0" fillId="0" borderId="7" xfId="0" applyNumberFormat="1" applyBorder="1"/>
    <xf numFmtId="3" fontId="7" fillId="4" borderId="6" xfId="0" applyNumberFormat="1" applyFont="1" applyFill="1" applyBorder="1"/>
    <xf numFmtId="4" fontId="7" fillId="4" borderId="24" xfId="0" applyNumberFormat="1" applyFont="1" applyFill="1" applyBorder="1"/>
    <xf numFmtId="3" fontId="13" fillId="2" borderId="0" xfId="0" applyNumberFormat="1" applyFont="1" applyFill="1" applyAlignment="1">
      <alignment horizontal="center"/>
    </xf>
    <xf numFmtId="3" fontId="7" fillId="2" borderId="1" xfId="0" applyNumberFormat="1" applyFont="1" applyFill="1" applyBorder="1" applyAlignment="1">
      <alignment horizontal="center" wrapText="1"/>
    </xf>
    <xf numFmtId="3" fontId="12" fillId="2" borderId="4" xfId="0" applyNumberFormat="1" applyFont="1" applyFill="1" applyBorder="1" applyAlignment="1">
      <alignment horizontal="center" vertical="distributed" wrapText="1"/>
    </xf>
    <xf numFmtId="9" fontId="10" fillId="0" borderId="10" xfId="0" applyNumberFormat="1" applyFont="1" applyBorder="1"/>
    <xf numFmtId="9" fontId="10" fillId="0" borderId="8" xfId="0" applyNumberFormat="1" applyFont="1" applyBorder="1"/>
    <xf numFmtId="9" fontId="10" fillId="0" borderId="11" xfId="0" applyNumberFormat="1" applyFont="1" applyBorder="1"/>
    <xf numFmtId="9" fontId="10" fillId="0" borderId="6" xfId="0" applyNumberFormat="1" applyFont="1" applyBorder="1"/>
    <xf numFmtId="0" fontId="21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2" fillId="0" borderId="0" xfId="0" applyFont="1"/>
    <xf numFmtId="0" fontId="10" fillId="0" borderId="7" xfId="0" applyFont="1" applyBorder="1" applyAlignment="1">
      <alignment horizontal="center"/>
    </xf>
    <xf numFmtId="0" fontId="1" fillId="0" borderId="0" xfId="0" applyFont="1"/>
    <xf numFmtId="44" fontId="1" fillId="4" borderId="5" xfId="1" applyFont="1" applyFill="1" applyBorder="1"/>
    <xf numFmtId="44" fontId="1" fillId="4" borderId="14" xfId="1" applyFont="1" applyFill="1" applyBorder="1"/>
    <xf numFmtId="44" fontId="1" fillId="4" borderId="11" xfId="1" applyFont="1" applyFill="1" applyBorder="1"/>
    <xf numFmtId="44" fontId="1" fillId="4" borderId="10" xfId="1" applyFont="1" applyFill="1" applyBorder="1"/>
    <xf numFmtId="44" fontId="1" fillId="4" borderId="6" xfId="1" applyFont="1" applyFill="1" applyBorder="1"/>
    <xf numFmtId="44" fontId="1" fillId="4" borderId="8" xfId="1" applyFont="1" applyFill="1" applyBorder="1"/>
    <xf numFmtId="44" fontId="1" fillId="4" borderId="1" xfId="1" applyFont="1" applyFill="1" applyBorder="1"/>
    <xf numFmtId="44" fontId="1" fillId="0" borderId="0" xfId="1" applyFont="1"/>
    <xf numFmtId="164" fontId="6" fillId="3" borderId="5" xfId="0" applyNumberFormat="1" applyFont="1" applyFill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7" fillId="2" borderId="16" xfId="0" applyNumberFormat="1" applyFont="1" applyFill="1" applyBorder="1" applyAlignment="1">
      <alignment horizontal="center"/>
    </xf>
    <xf numFmtId="3" fontId="7" fillId="2" borderId="17" xfId="0" applyNumberFormat="1" applyFont="1" applyFill="1" applyBorder="1" applyAlignment="1">
      <alignment horizontal="center"/>
    </xf>
    <xf numFmtId="3" fontId="7" fillId="2" borderId="23" xfId="0" applyNumberFormat="1" applyFont="1" applyFill="1" applyBorder="1" applyAlignment="1">
      <alignment horizontal="center"/>
    </xf>
    <xf numFmtId="3" fontId="8" fillId="2" borderId="16" xfId="0" applyNumberFormat="1" applyFont="1" applyFill="1" applyBorder="1" applyAlignment="1">
      <alignment horizontal="right"/>
    </xf>
    <xf numFmtId="3" fontId="8" fillId="2" borderId="23" xfId="0" applyNumberFormat="1" applyFont="1" applyFill="1" applyBorder="1" applyAlignment="1">
      <alignment horizontal="right"/>
    </xf>
    <xf numFmtId="3" fontId="8" fillId="0" borderId="18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3" fontId="13" fillId="2" borderId="3" xfId="0" applyNumberFormat="1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3" fontId="13" fillId="2" borderId="13" xfId="0" applyNumberFormat="1" applyFont="1" applyFill="1" applyBorder="1" applyAlignment="1">
      <alignment horizontal="center"/>
    </xf>
    <xf numFmtId="3" fontId="13" fillId="2" borderId="15" xfId="0" applyNumberFormat="1" applyFont="1" applyFill="1" applyBorder="1" applyAlignment="1">
      <alignment horizontal="center"/>
    </xf>
    <xf numFmtId="3" fontId="13" fillId="2" borderId="14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3" fontId="14" fillId="2" borderId="2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2" borderId="4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3" fontId="12" fillId="2" borderId="5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</cellXfs>
  <cellStyles count="6">
    <cellStyle name="Lien hypertexte" xfId="2" builtinId="8" hidden="1"/>
    <cellStyle name="Lien hypertexte" xfId="4" builtinId="8" hidden="1"/>
    <cellStyle name="Lien hypertexte visité" xfId="3" builtinId="9" hidden="1"/>
    <cellStyle name="Lien hypertexte visité" xfId="5" builtinId="9" hidden="1"/>
    <cellStyle name="Monétaire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baseColWidth="10" defaultColWidth="11" defaultRowHeight="15.75"/>
  <cols>
    <col min="1" max="1" width="17.5" style="123" customWidth="1"/>
    <col min="2" max="2" width="23.625" style="124" customWidth="1"/>
  </cols>
  <sheetData>
    <row r="1" spans="1:2" ht="18.75">
      <c r="A1" s="142" t="s">
        <v>0</v>
      </c>
      <c r="B1" s="142"/>
    </row>
    <row r="2" spans="1:2" ht="18.75">
      <c r="A2" s="122"/>
      <c r="B2" s="122"/>
    </row>
    <row r="3" spans="1:2">
      <c r="A3" s="123" t="s">
        <v>1</v>
      </c>
      <c r="B3" s="124" t="s">
        <v>2</v>
      </c>
    </row>
    <row r="4" spans="1:2">
      <c r="A4" s="123" t="s">
        <v>3</v>
      </c>
      <c r="B4" s="125" t="str">
        <f>VLOOKUP($B$3,'exo 1 données'!$A$4:$E$12,2,FALSE)</f>
        <v>Chantefort</v>
      </c>
    </row>
    <row r="5" spans="1:2">
      <c r="A5" s="123" t="s">
        <v>4</v>
      </c>
      <c r="B5" s="125" t="str">
        <f>VLOOKUP($B$3,'exo 1 données'!$A$4:$E$12,3,FALSE)</f>
        <v>Auriane</v>
      </c>
    </row>
    <row r="6" spans="1:2">
      <c r="A6" s="123" t="s">
        <v>5</v>
      </c>
      <c r="B6" s="125" t="str">
        <f>IF(ISBLANK(B3),"",IFERROR(VLOOKUP(VLOOKUP($B$3,'exo 1 données'!$A$4:$E$12,4,FALSE),'exo 1 données'!$G$4:$H$7,2,FALSE),"Code erroné"))</f>
        <v>Admistration Générale</v>
      </c>
    </row>
    <row r="7" spans="1:2">
      <c r="A7" s="123" t="s">
        <v>6</v>
      </c>
      <c r="B7" s="125" t="str">
        <f>IF(ISBLANK(B3),"",IFERROR(VLOOKUP(VLOOKUP($B$3,'exo 1 données'!$A$4:$E$12,5,FALSE),'exo 1 données'!J4:K6,2,FALSE),"Code erroné"))</f>
        <v>Temps partiel 80%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12" sqref="E12"/>
    </sheetView>
  </sheetViews>
  <sheetFormatPr baseColWidth="10" defaultColWidth="11" defaultRowHeight="15.75"/>
  <cols>
    <col min="2" max="2" width="11.875" customWidth="1"/>
    <col min="3" max="3" width="15.625" customWidth="1"/>
    <col min="4" max="4" width="14.375" customWidth="1"/>
    <col min="5" max="5" width="7.125" customWidth="1"/>
    <col min="6" max="6" width="2.5" customWidth="1"/>
    <col min="7" max="7" width="11.125" customWidth="1"/>
    <col min="8" max="8" width="22.875" customWidth="1"/>
    <col min="9" max="9" width="2.5" customWidth="1"/>
    <col min="10" max="10" width="10" customWidth="1"/>
    <col min="11" max="11" width="18.375" customWidth="1"/>
  </cols>
  <sheetData>
    <row r="1" spans="1:11" ht="21">
      <c r="A1" s="143" t="s">
        <v>7</v>
      </c>
      <c r="B1" s="143"/>
      <c r="C1" s="143"/>
      <c r="D1" s="143"/>
      <c r="E1" s="143"/>
      <c r="G1" s="143" t="s">
        <v>8</v>
      </c>
      <c r="H1" s="143"/>
      <c r="J1" s="143" t="s">
        <v>9</v>
      </c>
      <c r="K1" s="143"/>
    </row>
    <row r="3" spans="1:11" ht="30">
      <c r="A3" s="126" t="s">
        <v>10</v>
      </c>
      <c r="B3" s="127" t="s">
        <v>11</v>
      </c>
      <c r="C3" s="127" t="s">
        <v>12</v>
      </c>
      <c r="D3" s="126" t="s">
        <v>13</v>
      </c>
      <c r="E3" s="126" t="s">
        <v>14</v>
      </c>
      <c r="G3" s="126" t="s">
        <v>15</v>
      </c>
      <c r="H3" s="127" t="s">
        <v>16</v>
      </c>
      <c r="J3" s="126" t="s">
        <v>14</v>
      </c>
      <c r="K3" s="127" t="s">
        <v>17</v>
      </c>
    </row>
    <row r="4" spans="1:11">
      <c r="A4" s="128" t="s">
        <v>18</v>
      </c>
      <c r="B4" s="129" t="s">
        <v>19</v>
      </c>
      <c r="C4" s="129" t="s">
        <v>20</v>
      </c>
      <c r="D4" s="128" t="s">
        <v>21</v>
      </c>
      <c r="E4" s="128" t="s">
        <v>22</v>
      </c>
      <c r="G4" s="128" t="s">
        <v>21</v>
      </c>
      <c r="H4" s="129" t="s">
        <v>23</v>
      </c>
      <c r="J4" s="128" t="s">
        <v>22</v>
      </c>
      <c r="K4" s="129" t="s">
        <v>24</v>
      </c>
    </row>
    <row r="5" spans="1:11">
      <c r="A5" s="128" t="s">
        <v>25</v>
      </c>
      <c r="B5" s="129" t="s">
        <v>26</v>
      </c>
      <c r="C5" s="129" t="s">
        <v>27</v>
      </c>
      <c r="D5" s="128" t="s">
        <v>28</v>
      </c>
      <c r="E5" s="128" t="s">
        <v>22</v>
      </c>
      <c r="G5" s="128" t="s">
        <v>28</v>
      </c>
      <c r="H5" s="129" t="s">
        <v>29</v>
      </c>
      <c r="J5" s="128" t="s">
        <v>30</v>
      </c>
      <c r="K5" s="129" t="s">
        <v>31</v>
      </c>
    </row>
    <row r="6" spans="1:11">
      <c r="A6" s="128" t="s">
        <v>32</v>
      </c>
      <c r="B6" s="129" t="s">
        <v>33</v>
      </c>
      <c r="C6" s="129" t="s">
        <v>34</v>
      </c>
      <c r="D6" s="128" t="s">
        <v>35</v>
      </c>
      <c r="E6" s="128" t="s">
        <v>30</v>
      </c>
      <c r="G6" s="128" t="s">
        <v>35</v>
      </c>
      <c r="H6" s="129" t="s">
        <v>36</v>
      </c>
      <c r="J6" s="128" t="s">
        <v>37</v>
      </c>
      <c r="K6" s="129" t="s">
        <v>38</v>
      </c>
    </row>
    <row r="7" spans="1:11">
      <c r="A7" s="128" t="s">
        <v>39</v>
      </c>
      <c r="B7" s="129" t="s">
        <v>40</v>
      </c>
      <c r="C7" s="129" t="s">
        <v>41</v>
      </c>
      <c r="D7" s="128" t="s">
        <v>35</v>
      </c>
      <c r="E7" s="128" t="s">
        <v>30</v>
      </c>
      <c r="G7" s="128" t="s">
        <v>42</v>
      </c>
      <c r="H7" s="129" t="s">
        <v>43</v>
      </c>
    </row>
    <row r="8" spans="1:11">
      <c r="A8" s="128" t="s">
        <v>2</v>
      </c>
      <c r="B8" s="129" t="s">
        <v>44</v>
      </c>
      <c r="C8" s="129" t="s">
        <v>45</v>
      </c>
      <c r="D8" s="128" t="s">
        <v>42</v>
      </c>
      <c r="E8" s="128" t="s">
        <v>30</v>
      </c>
    </row>
    <row r="9" spans="1:11">
      <c r="A9" s="128" t="s">
        <v>46</v>
      </c>
      <c r="B9" s="129" t="s">
        <v>47</v>
      </c>
      <c r="C9" s="129" t="s">
        <v>48</v>
      </c>
      <c r="D9" s="128" t="s">
        <v>42</v>
      </c>
      <c r="E9" s="128" t="s">
        <v>37</v>
      </c>
    </row>
    <row r="10" spans="1:11">
      <c r="A10" s="128" t="s">
        <v>49</v>
      </c>
      <c r="B10" s="129" t="s">
        <v>50</v>
      </c>
      <c r="C10" s="129" t="s">
        <v>51</v>
      </c>
      <c r="D10" s="128" t="s">
        <v>42</v>
      </c>
      <c r="E10" s="128" t="s">
        <v>22</v>
      </c>
    </row>
    <row r="11" spans="1:11">
      <c r="A11" s="128" t="s">
        <v>52</v>
      </c>
      <c r="B11" s="129" t="s">
        <v>53</v>
      </c>
      <c r="C11" s="129" t="s">
        <v>54</v>
      </c>
      <c r="D11" s="128" t="s">
        <v>28</v>
      </c>
      <c r="E11" s="128" t="s">
        <v>22</v>
      </c>
    </row>
    <row r="12" spans="1:11">
      <c r="A12" s="128" t="s">
        <v>55</v>
      </c>
      <c r="B12" s="129" t="s">
        <v>56</v>
      </c>
      <c r="C12" s="129" t="s">
        <v>57</v>
      </c>
      <c r="D12" s="128" t="s">
        <v>21</v>
      </c>
      <c r="E12" s="128" t="s">
        <v>30</v>
      </c>
    </row>
    <row r="14" spans="1:11" ht="21">
      <c r="D14" s="130"/>
    </row>
  </sheetData>
  <mergeCells count="3">
    <mergeCell ref="A1:E1"/>
    <mergeCell ref="G1:H1"/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4" zoomScale="140" zoomScaleNormal="140" zoomScalePageLayoutView="140" workbookViewId="0">
      <selection activeCell="F36" sqref="F36"/>
    </sheetView>
  </sheetViews>
  <sheetFormatPr baseColWidth="10" defaultColWidth="10.875" defaultRowHeight="15"/>
  <cols>
    <col min="1" max="1" width="11.875" style="2" customWidth="1"/>
    <col min="2" max="2" width="23.375" style="2" customWidth="1"/>
    <col min="3" max="5" width="10.875" style="2"/>
    <col min="6" max="6" width="11.125" style="2" customWidth="1"/>
    <col min="7" max="16384" width="10.875" style="2"/>
  </cols>
  <sheetData>
    <row r="1" spans="1:7">
      <c r="A1" s="3"/>
      <c r="B1" s="3"/>
      <c r="C1" s="3"/>
      <c r="D1" s="3"/>
      <c r="E1" s="3"/>
      <c r="F1" s="3"/>
      <c r="G1" s="132"/>
    </row>
    <row r="2" spans="1:7" ht="15.95" customHeight="1">
      <c r="A2" s="3"/>
      <c r="B2" s="3"/>
      <c r="C2" s="145" t="s">
        <v>58</v>
      </c>
      <c r="D2" s="145"/>
      <c r="E2" s="145"/>
      <c r="F2" s="3"/>
      <c r="G2" s="132"/>
    </row>
    <row r="3" spans="1:7" ht="15.95" customHeight="1">
      <c r="A3" s="3"/>
      <c r="B3" s="3" t="s">
        <v>59</v>
      </c>
      <c r="C3" s="145"/>
      <c r="D3" s="145"/>
      <c r="E3" s="145"/>
      <c r="F3" s="3"/>
      <c r="G3" s="132"/>
    </row>
    <row r="4" spans="1:7">
      <c r="A4" s="3"/>
      <c r="B4" s="3" t="s">
        <v>60</v>
      </c>
      <c r="C4" s="3"/>
      <c r="D4" s="3"/>
      <c r="E4" s="3"/>
      <c r="F4" s="3"/>
      <c r="G4" s="132"/>
    </row>
    <row r="5" spans="1:7">
      <c r="A5" s="3"/>
      <c r="B5" s="3" t="s">
        <v>61</v>
      </c>
      <c r="C5" s="3" t="s">
        <v>62</v>
      </c>
      <c r="D5" s="6">
        <v>42267</v>
      </c>
      <c r="E5" s="6"/>
      <c r="F5" s="3"/>
      <c r="G5" s="132"/>
    </row>
    <row r="6" spans="1:7">
      <c r="A6" s="3"/>
      <c r="B6" s="3"/>
      <c r="C6" s="3"/>
      <c r="D6" s="3"/>
      <c r="E6" s="3"/>
      <c r="F6" s="3"/>
      <c r="G6" s="132"/>
    </row>
    <row r="7" spans="1:7">
      <c r="A7" s="3" t="s">
        <v>63</v>
      </c>
      <c r="B7" s="7" t="s">
        <v>64</v>
      </c>
      <c r="C7" s="3" t="s">
        <v>65</v>
      </c>
      <c r="D7" s="7">
        <v>6</v>
      </c>
      <c r="E7" s="7"/>
      <c r="F7" s="3"/>
      <c r="G7" s="132"/>
    </row>
    <row r="8" spans="1:7">
      <c r="A8" s="3" t="s">
        <v>66</v>
      </c>
      <c r="B8" s="7">
        <v>5</v>
      </c>
      <c r="C8" s="3" t="s">
        <v>67</v>
      </c>
      <c r="D8" s="21" t="str">
        <f>VLOOKUP($D$7,'cas2  données'!$A$3:$G$9,2,FALSE)</f>
        <v>S.A. Ligator</v>
      </c>
      <c r="E8" s="21"/>
      <c r="F8" s="3"/>
      <c r="G8" s="132"/>
    </row>
    <row r="9" spans="1:7">
      <c r="A9" s="3"/>
      <c r="B9" s="3"/>
      <c r="C9" s="3"/>
      <c r="D9" s="21"/>
      <c r="E9" s="21"/>
      <c r="F9" s="3"/>
      <c r="G9" s="132"/>
    </row>
    <row r="10" spans="1:7">
      <c r="A10" s="144" t="s">
        <v>68</v>
      </c>
      <c r="B10" s="3"/>
      <c r="C10" s="3"/>
      <c r="D10" s="21"/>
      <c r="E10" s="21"/>
      <c r="F10" s="3"/>
      <c r="G10" s="132"/>
    </row>
    <row r="11" spans="1:7">
      <c r="A11" s="144"/>
      <c r="B11" s="21" t="str">
        <f>VLOOKUP($D$7,'cas2  données'!$A$3:$G$9,6,FALSE)</f>
        <v>Comptant</v>
      </c>
      <c r="C11" s="3"/>
      <c r="D11" s="21"/>
      <c r="E11" s="21"/>
      <c r="F11" s="3"/>
      <c r="G11" s="132"/>
    </row>
    <row r="12" spans="1:7">
      <c r="A12" s="3"/>
      <c r="B12" s="3"/>
      <c r="C12" s="3"/>
      <c r="D12" s="3"/>
      <c r="E12" s="3"/>
      <c r="F12" s="3"/>
      <c r="G12" s="132"/>
    </row>
    <row r="13" spans="1:7">
      <c r="A13" s="8" t="s">
        <v>69</v>
      </c>
      <c r="B13" s="1" t="s">
        <v>70</v>
      </c>
      <c r="C13" s="9" t="s">
        <v>71</v>
      </c>
      <c r="D13" s="1" t="s">
        <v>72</v>
      </c>
      <c r="E13" s="10" t="s">
        <v>73</v>
      </c>
      <c r="F13" s="10" t="s">
        <v>74</v>
      </c>
      <c r="G13" s="132"/>
    </row>
    <row r="14" spans="1:7">
      <c r="A14" s="22" t="s">
        <v>75</v>
      </c>
      <c r="B14" s="12" t="str">
        <f>VLOOKUP(A14,'cas2  données'!$B$14:$D$20,2,FALSE)</f>
        <v>Four encastrable Panasonic 361</v>
      </c>
      <c r="C14" s="23">
        <v>3</v>
      </c>
      <c r="D14" s="141">
        <f>IFERROR(VLOOKUP(A14,'cas2  données'!$B$14:$D$20,3,FALSE),"")</f>
        <v>840</v>
      </c>
      <c r="E14" s="133">
        <f>IFERROR(D14-VLOOKUP(VLOOKUP($D$7,'cas2  données'!$A$3:$G$9,7,FALSE),'cas2  données'!$B$24:$C$27,2,FALSE)*D14,"")</f>
        <v>814.8</v>
      </c>
      <c r="F14" s="134">
        <f>C14*E14</f>
        <v>2444.3999999999996</v>
      </c>
      <c r="G14" s="132"/>
    </row>
    <row r="15" spans="1:7">
      <c r="A15" s="11" t="s">
        <v>76</v>
      </c>
      <c r="B15" s="12" t="str">
        <f>VLOOKUP(A15,'cas2  données'!$B$14:$D$20,2,FALSE)</f>
        <v>Four encastrable Moulinex 381</v>
      </c>
      <c r="C15" s="7">
        <v>3</v>
      </c>
      <c r="D15" s="141">
        <f>IFERROR(VLOOKUP(A15,'cas2  données'!$B$14:$D$20,3,FALSE),"")</f>
        <v>884</v>
      </c>
      <c r="E15" s="133">
        <f>IFERROR(D15-VLOOKUP(VLOOKUP($D$7,'cas2  données'!$A$3:$G$9,7,FALSE),'cas2  données'!$B$24:$C$27,2,FALSE)*D15,"")</f>
        <v>857.48</v>
      </c>
      <c r="F15" s="134">
        <f t="shared" ref="F15:F16" si="0">C15*E15</f>
        <v>2572.44</v>
      </c>
      <c r="G15" s="132"/>
    </row>
    <row r="16" spans="1:7">
      <c r="A16" s="11" t="s">
        <v>77</v>
      </c>
      <c r="B16" s="12" t="str">
        <f>VLOOKUP(A16,'cas2  données'!$B$14:$D$20,2,FALSE)</f>
        <v>Four classique Samsung 521</v>
      </c>
      <c r="C16" s="7">
        <v>3</v>
      </c>
      <c r="D16" s="141">
        <f>IFERROR(VLOOKUP(A16,'cas2  données'!$B$14:$D$20,3,FALSE),"")</f>
        <v>1090</v>
      </c>
      <c r="E16" s="133">
        <f>IFERROR(D16-VLOOKUP(VLOOKUP($D$7,'cas2  données'!$A$3:$G$9,7,FALSE),'cas2  données'!$B$24:$C$27,2,FALSE)*D16,"")</f>
        <v>1057.3</v>
      </c>
      <c r="F16" s="134">
        <f t="shared" si="0"/>
        <v>3171.8999999999996</v>
      </c>
      <c r="G16" s="132"/>
    </row>
    <row r="17" spans="1:7">
      <c r="A17" s="11" t="s">
        <v>78</v>
      </c>
      <c r="B17" s="12" t="str">
        <f>VLOOKUP(A17,'cas2  données'!$B$14:$D$20,2,FALSE)</f>
        <v>Four classique Samsung 661</v>
      </c>
      <c r="C17" s="7">
        <v>3</v>
      </c>
      <c r="D17" s="141">
        <f>IFERROR(VLOOKUP(A17,'cas2  données'!$B$14:$D$20,3,FALSE),"")</f>
        <v>1190</v>
      </c>
      <c r="E17" s="133">
        <f>IFERROR(D17-VLOOKUP(VLOOKUP($D$7,'cas2  données'!$A$3:$G$9,7,FALSE),'cas2  données'!$B$24:$C$27,2,FALSE)*D17,"")</f>
        <v>1154.3</v>
      </c>
      <c r="F17" s="134">
        <f>C17*E17</f>
        <v>3462.8999999999996</v>
      </c>
      <c r="G17" s="132"/>
    </row>
    <row r="18" spans="1:7">
      <c r="A18" s="11" t="s">
        <v>79</v>
      </c>
      <c r="B18" s="12" t="str">
        <f>IFERROR(VLOOKUP(A18,'cas2  données'!$B$14:$D$20,2,FALSE),"Code erroné")</f>
        <v>Code erroné</v>
      </c>
      <c r="C18" s="7"/>
      <c r="D18" s="141" t="str">
        <f>IFERROR(VLOOKUP(A18,'cas2  données'!$B$14:$D$20,3,FALSE),"")</f>
        <v/>
      </c>
      <c r="E18" s="133" t="str">
        <f>IFERROR(D18-VLOOKUP(VLOOKUP($D$7,'cas2  données'!$A$3:$G$9,7,FALSE),'cas2  données'!$B$24:$C$27,2,FALSE)*D18,"")</f>
        <v/>
      </c>
      <c r="F18" s="134" t="str">
        <f>IFERROR(C18*E18,"")</f>
        <v/>
      </c>
      <c r="G18" s="132"/>
    </row>
    <row r="19" spans="1:7">
      <c r="A19" s="11"/>
      <c r="B19" s="13"/>
      <c r="C19" s="7"/>
      <c r="D19" s="135"/>
      <c r="E19" s="135"/>
      <c r="F19" s="136"/>
      <c r="G19" s="132"/>
    </row>
    <row r="20" spans="1:7">
      <c r="A20" s="11"/>
      <c r="B20" s="13"/>
      <c r="C20" s="7"/>
      <c r="D20" s="135"/>
      <c r="E20" s="135"/>
      <c r="F20" s="136"/>
      <c r="G20" s="132"/>
    </row>
    <row r="21" spans="1:7">
      <c r="A21" s="11"/>
      <c r="B21" s="13"/>
      <c r="C21" s="7"/>
      <c r="D21" s="135"/>
      <c r="E21" s="135"/>
      <c r="F21" s="136"/>
      <c r="G21" s="132"/>
    </row>
    <row r="22" spans="1:7">
      <c r="A22" s="11"/>
      <c r="B22" s="13"/>
      <c r="C22" s="7"/>
      <c r="D22" s="135"/>
      <c r="E22" s="135"/>
      <c r="F22" s="136"/>
      <c r="G22" s="132"/>
    </row>
    <row r="23" spans="1:7">
      <c r="A23" s="11"/>
      <c r="B23" s="13"/>
      <c r="C23" s="7"/>
      <c r="D23" s="135"/>
      <c r="E23" s="135"/>
      <c r="F23" s="136"/>
      <c r="G23" s="132"/>
    </row>
    <row r="24" spans="1:7">
      <c r="A24" s="14"/>
      <c r="B24" s="15"/>
      <c r="C24" s="16"/>
      <c r="D24" s="137"/>
      <c r="E24" s="137"/>
      <c r="F24" s="138"/>
      <c r="G24" s="132"/>
    </row>
    <row r="25" spans="1:7">
      <c r="A25" s="3"/>
      <c r="B25" s="17" t="s">
        <v>80</v>
      </c>
      <c r="C25" s="3"/>
      <c r="D25" s="18"/>
      <c r="E25" s="18"/>
      <c r="F25" s="139">
        <f>SUM(F14:F24)</f>
        <v>11651.64</v>
      </c>
      <c r="G25" s="132"/>
    </row>
    <row r="26" spans="1:7">
      <c r="A26" s="3"/>
      <c r="B26" s="17"/>
      <c r="C26" s="3"/>
      <c r="D26" s="18"/>
      <c r="E26" s="18"/>
      <c r="F26" s="18"/>
      <c r="G26" s="132"/>
    </row>
    <row r="27" spans="1:7">
      <c r="A27" s="3"/>
      <c r="B27" s="17" t="s">
        <v>81</v>
      </c>
      <c r="C27" s="19">
        <f>IF(F25&gt;=5300,10%,0%)</f>
        <v>0.1</v>
      </c>
      <c r="D27" s="18"/>
      <c r="E27" s="18"/>
      <c r="F27" s="139">
        <f>F25*C27</f>
        <v>1165.164</v>
      </c>
      <c r="G27" s="132"/>
    </row>
    <row r="28" spans="1:7">
      <c r="A28" s="3"/>
      <c r="B28" s="17" t="s">
        <v>82</v>
      </c>
      <c r="C28" s="20"/>
      <c r="D28" s="18"/>
      <c r="E28" s="18"/>
      <c r="F28" s="139">
        <f>F25-F27</f>
        <v>10486.475999999999</v>
      </c>
      <c r="G28" s="132"/>
    </row>
    <row r="29" spans="1:7">
      <c r="A29" s="3"/>
      <c r="B29" s="17"/>
      <c r="C29" s="20"/>
      <c r="D29" s="18"/>
      <c r="E29" s="18"/>
      <c r="F29" s="140"/>
      <c r="G29" s="132"/>
    </row>
    <row r="30" spans="1:7">
      <c r="A30" s="3"/>
      <c r="B30" s="17" t="s">
        <v>83</v>
      </c>
      <c r="C30" s="19">
        <f>IF(B11="Comptant",2%,0%)</f>
        <v>0.02</v>
      </c>
      <c r="D30" s="18"/>
      <c r="E30" s="18"/>
      <c r="F30" s="139">
        <f>F28*C30</f>
        <v>209.72951999999998</v>
      </c>
      <c r="G30" s="132"/>
    </row>
    <row r="31" spans="1:7">
      <c r="A31" s="3"/>
      <c r="B31" s="17" t="s">
        <v>84</v>
      </c>
      <c r="C31" s="3"/>
      <c r="D31" s="18"/>
      <c r="E31" s="18"/>
      <c r="F31" s="139">
        <f>F28-F30</f>
        <v>10276.746479999998</v>
      </c>
      <c r="G31" s="132"/>
    </row>
    <row r="32" spans="1:7">
      <c r="A32" s="3"/>
      <c r="B32" s="17"/>
      <c r="C32" s="3"/>
      <c r="D32" s="18"/>
      <c r="E32" s="18"/>
      <c r="F32" s="140"/>
      <c r="G32" s="132"/>
    </row>
    <row r="33" spans="1:6">
      <c r="A33" s="3"/>
      <c r="B33" s="17" t="s">
        <v>85</v>
      </c>
      <c r="C33" s="3"/>
      <c r="D33" s="18"/>
      <c r="E33" s="18"/>
      <c r="F33" s="139">
        <f>F31*'cas2  données'!C30</f>
        <v>2055.3492959999999</v>
      </c>
    </row>
    <row r="34" spans="1:6">
      <c r="A34" s="3"/>
      <c r="B34" s="17"/>
      <c r="C34" s="3"/>
      <c r="D34" s="18"/>
      <c r="E34" s="18"/>
      <c r="F34" s="140"/>
    </row>
    <row r="35" spans="1:6">
      <c r="A35" s="3"/>
      <c r="B35" s="17" t="s">
        <v>86</v>
      </c>
      <c r="C35" s="3"/>
      <c r="D35" s="18"/>
      <c r="E35" s="18"/>
      <c r="F35" s="139">
        <f>F31+F33</f>
        <v>12332.095775999998</v>
      </c>
    </row>
  </sheetData>
  <mergeCells count="2">
    <mergeCell ref="A10:A11"/>
    <mergeCell ref="C2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6" zoomScale="150" zoomScaleNormal="150" zoomScalePageLayoutView="150" workbookViewId="0">
      <selection activeCell="F12" sqref="F12"/>
    </sheetView>
  </sheetViews>
  <sheetFormatPr baseColWidth="10" defaultColWidth="10.875" defaultRowHeight="12"/>
  <cols>
    <col min="1" max="1" width="4.125" style="5" customWidth="1"/>
    <col min="2" max="2" width="10.875" style="5"/>
    <col min="3" max="3" width="26.375" style="5" customWidth="1"/>
    <col min="4" max="4" width="12.875" style="5" customWidth="1"/>
    <col min="5" max="5" width="7.375" style="5" customWidth="1"/>
    <col min="6" max="6" width="8.375" style="5" customWidth="1"/>
    <col min="7" max="7" width="7.5" style="5" customWidth="1"/>
    <col min="8" max="16384" width="10.875" style="5"/>
  </cols>
  <sheetData>
    <row r="1" spans="1:7" ht="21" customHeight="1">
      <c r="A1" s="146" t="s">
        <v>87</v>
      </c>
      <c r="B1" s="146"/>
      <c r="C1" s="146"/>
      <c r="D1" s="146"/>
      <c r="E1" s="146"/>
      <c r="F1" s="146"/>
      <c r="G1" s="146"/>
    </row>
    <row r="2" spans="1:7" ht="32.1" customHeight="1">
      <c r="A2" s="25" t="s">
        <v>88</v>
      </c>
      <c r="B2" s="4" t="s">
        <v>11</v>
      </c>
      <c r="C2" s="25" t="s">
        <v>89</v>
      </c>
      <c r="D2" s="4" t="s">
        <v>90</v>
      </c>
      <c r="E2" s="25" t="s">
        <v>91</v>
      </c>
      <c r="F2" s="4" t="s">
        <v>92</v>
      </c>
      <c r="G2" s="26" t="s">
        <v>93</v>
      </c>
    </row>
    <row r="3" spans="1:7">
      <c r="A3" s="69">
        <v>1</v>
      </c>
      <c r="B3" s="28" t="s">
        <v>94</v>
      </c>
      <c r="C3" s="5" t="s">
        <v>95</v>
      </c>
      <c r="D3" s="28" t="s">
        <v>96</v>
      </c>
      <c r="E3" s="5" t="s">
        <v>97</v>
      </c>
      <c r="F3" s="28" t="s">
        <v>98</v>
      </c>
      <c r="G3" s="29" t="s">
        <v>99</v>
      </c>
    </row>
    <row r="4" spans="1:7">
      <c r="A4" s="69">
        <v>2</v>
      </c>
      <c r="B4" s="28" t="s">
        <v>100</v>
      </c>
      <c r="C4" s="5" t="s">
        <v>101</v>
      </c>
      <c r="D4" s="28" t="s">
        <v>102</v>
      </c>
      <c r="E4" s="5" t="s">
        <v>97</v>
      </c>
      <c r="F4" s="28" t="s">
        <v>98</v>
      </c>
      <c r="G4" s="30" t="s">
        <v>99</v>
      </c>
    </row>
    <row r="5" spans="1:7">
      <c r="A5" s="69">
        <v>3</v>
      </c>
      <c r="B5" s="28" t="s">
        <v>103</v>
      </c>
      <c r="C5" s="5" t="s">
        <v>104</v>
      </c>
      <c r="D5" s="28" t="s">
        <v>105</v>
      </c>
      <c r="E5" s="5" t="s">
        <v>106</v>
      </c>
      <c r="F5" s="28" t="s">
        <v>107</v>
      </c>
      <c r="G5" s="30" t="s">
        <v>108</v>
      </c>
    </row>
    <row r="6" spans="1:7">
      <c r="A6" s="69">
        <v>4</v>
      </c>
      <c r="B6" s="28" t="s">
        <v>109</v>
      </c>
      <c r="C6" s="5" t="s">
        <v>110</v>
      </c>
      <c r="D6" s="28" t="s">
        <v>111</v>
      </c>
      <c r="E6" s="5" t="s">
        <v>112</v>
      </c>
      <c r="F6" s="28" t="s">
        <v>113</v>
      </c>
      <c r="G6" s="30" t="s">
        <v>114</v>
      </c>
    </row>
    <row r="7" spans="1:7">
      <c r="A7" s="69">
        <v>5</v>
      </c>
      <c r="B7" s="28" t="s">
        <v>115</v>
      </c>
      <c r="C7" s="5" t="s">
        <v>116</v>
      </c>
      <c r="D7" s="28" t="s">
        <v>117</v>
      </c>
      <c r="E7" s="5" t="s">
        <v>118</v>
      </c>
      <c r="F7" s="28" t="s">
        <v>107</v>
      </c>
      <c r="G7" s="30" t="s">
        <v>108</v>
      </c>
    </row>
    <row r="8" spans="1:7">
      <c r="A8" s="69">
        <v>6</v>
      </c>
      <c r="B8" s="28" t="s">
        <v>119</v>
      </c>
      <c r="C8" s="5" t="s">
        <v>120</v>
      </c>
      <c r="D8" s="28" t="s">
        <v>121</v>
      </c>
      <c r="E8" s="5" t="s">
        <v>97</v>
      </c>
      <c r="F8" s="28" t="s">
        <v>98</v>
      </c>
      <c r="G8" s="30" t="s">
        <v>122</v>
      </c>
    </row>
    <row r="9" spans="1:7">
      <c r="A9" s="131">
        <v>7</v>
      </c>
      <c r="B9" s="32" t="s">
        <v>123</v>
      </c>
      <c r="C9" s="33" t="s">
        <v>124</v>
      </c>
      <c r="D9" s="32" t="s">
        <v>125</v>
      </c>
      <c r="E9" s="33" t="s">
        <v>97</v>
      </c>
      <c r="F9" s="32" t="s">
        <v>98</v>
      </c>
      <c r="G9" s="34" t="s">
        <v>122</v>
      </c>
    </row>
    <row r="12" spans="1:7" ht="15">
      <c r="B12" s="147" t="s">
        <v>126</v>
      </c>
      <c r="C12" s="147"/>
      <c r="D12" s="147"/>
    </row>
    <row r="13" spans="1:7">
      <c r="B13" s="24" t="s">
        <v>69</v>
      </c>
      <c r="C13" s="4" t="s">
        <v>70</v>
      </c>
      <c r="D13" s="35" t="s">
        <v>72</v>
      </c>
      <c r="E13" s="36"/>
    </row>
    <row r="14" spans="1:7">
      <c r="B14" s="27" t="s">
        <v>75</v>
      </c>
      <c r="C14" s="28" t="s">
        <v>127</v>
      </c>
      <c r="D14" s="37">
        <v>840</v>
      </c>
    </row>
    <row r="15" spans="1:7">
      <c r="B15" s="27" t="s">
        <v>76</v>
      </c>
      <c r="C15" s="28" t="s">
        <v>128</v>
      </c>
      <c r="D15" s="37">
        <v>884</v>
      </c>
    </row>
    <row r="16" spans="1:7">
      <c r="B16" s="27" t="s">
        <v>129</v>
      </c>
      <c r="C16" s="28" t="s">
        <v>130</v>
      </c>
      <c r="D16" s="37">
        <v>1070</v>
      </c>
    </row>
    <row r="17" spans="2:4">
      <c r="B17" s="27" t="s">
        <v>77</v>
      </c>
      <c r="C17" s="28" t="s">
        <v>131</v>
      </c>
      <c r="D17" s="37">
        <v>1090</v>
      </c>
    </row>
    <row r="18" spans="2:4">
      <c r="B18" s="27" t="s">
        <v>78</v>
      </c>
      <c r="C18" s="28" t="s">
        <v>132</v>
      </c>
      <c r="D18" s="37">
        <v>1190</v>
      </c>
    </row>
    <row r="19" spans="2:4">
      <c r="B19" s="27" t="s">
        <v>133</v>
      </c>
      <c r="C19" s="28" t="s">
        <v>134</v>
      </c>
      <c r="D19" s="37">
        <v>1220</v>
      </c>
    </row>
    <row r="20" spans="2:4">
      <c r="B20" s="31"/>
      <c r="C20" s="32"/>
      <c r="D20" s="38"/>
    </row>
    <row r="22" spans="2:4">
      <c r="B22" s="148" t="s">
        <v>135</v>
      </c>
      <c r="C22" s="148"/>
    </row>
    <row r="23" spans="2:4" ht="24">
      <c r="B23" s="39" t="s">
        <v>93</v>
      </c>
      <c r="C23" s="40" t="s">
        <v>136</v>
      </c>
    </row>
    <row r="24" spans="2:4">
      <c r="B24" s="41" t="s">
        <v>99</v>
      </c>
      <c r="C24" s="42">
        <v>0.02</v>
      </c>
    </row>
    <row r="25" spans="2:4">
      <c r="B25" s="27" t="s">
        <v>122</v>
      </c>
      <c r="C25" s="43">
        <v>0.03</v>
      </c>
    </row>
    <row r="26" spans="2:4">
      <c r="B26" s="27" t="s">
        <v>108</v>
      </c>
      <c r="C26" s="43">
        <v>0.04</v>
      </c>
    </row>
    <row r="27" spans="2:4">
      <c r="B27" s="31" t="s">
        <v>114</v>
      </c>
      <c r="C27" s="44">
        <v>0.05</v>
      </c>
    </row>
    <row r="30" spans="2:4">
      <c r="B30" s="45" t="s">
        <v>137</v>
      </c>
      <c r="C30" s="46">
        <v>0.2</v>
      </c>
    </row>
  </sheetData>
  <mergeCells count="3">
    <mergeCell ref="A1:G1"/>
    <mergeCell ref="B12:D12"/>
    <mergeCell ref="B22:C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40" zoomScale="160" zoomScaleNormal="160" zoomScalePageLayoutView="130" workbookViewId="0">
      <selection activeCell="C51" sqref="C51"/>
    </sheetView>
  </sheetViews>
  <sheetFormatPr baseColWidth="10" defaultColWidth="10.875" defaultRowHeight="15.75"/>
  <cols>
    <col min="1" max="1" width="11" customWidth="1"/>
    <col min="2" max="2" width="10" customWidth="1"/>
    <col min="3" max="3" width="10.125" customWidth="1"/>
    <col min="4" max="4" width="8.5" customWidth="1"/>
    <col min="5" max="5" width="8.375" customWidth="1"/>
    <col min="6" max="6" width="8.5" customWidth="1"/>
    <col min="7" max="7" width="6.625" customWidth="1"/>
    <col min="8" max="8" width="7.375" customWidth="1"/>
    <col min="9" max="9" width="6.125" customWidth="1"/>
  </cols>
  <sheetData>
    <row r="1" spans="1:9">
      <c r="A1" s="162" t="s">
        <v>138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88"/>
      <c r="B2" s="88"/>
      <c r="C2" s="88"/>
      <c r="D2" s="88"/>
      <c r="E2" s="88"/>
      <c r="F2" s="88"/>
      <c r="G2" s="88"/>
      <c r="H2" s="88"/>
      <c r="I2" s="88"/>
    </row>
    <row r="3" spans="1:9">
      <c r="A3" s="106" t="s">
        <v>139</v>
      </c>
      <c r="B3" s="107"/>
      <c r="C3" s="107"/>
      <c r="D3" s="88"/>
      <c r="E3" s="88"/>
      <c r="F3" s="88"/>
      <c r="G3" s="88"/>
      <c r="H3" s="88"/>
      <c r="I3" s="88"/>
    </row>
    <row r="4" spans="1:9" ht="12.95" customHeight="1">
      <c r="A4" s="151" t="s">
        <v>140</v>
      </c>
      <c r="B4" s="151"/>
      <c r="C4" s="115" t="s">
        <v>141</v>
      </c>
      <c r="D4" s="88"/>
      <c r="E4" s="88"/>
      <c r="F4" s="88"/>
      <c r="G4" s="88"/>
      <c r="H4" s="88"/>
      <c r="I4" s="88"/>
    </row>
    <row r="5" spans="1:9" ht="12.95" customHeight="1">
      <c r="A5" s="151" t="s">
        <v>142</v>
      </c>
      <c r="B5" s="151"/>
      <c r="C5" s="115" t="s">
        <v>143</v>
      </c>
      <c r="D5" s="108"/>
      <c r="E5" s="88"/>
      <c r="F5" s="88"/>
      <c r="G5" s="88"/>
      <c r="H5" s="88"/>
      <c r="I5" s="88"/>
    </row>
    <row r="6" spans="1:9" ht="12.95" customHeight="1">
      <c r="A6" s="151" t="s">
        <v>144</v>
      </c>
      <c r="B6" s="151"/>
      <c r="C6" s="115" t="s">
        <v>145</v>
      </c>
      <c r="D6" s="88"/>
      <c r="E6" s="88"/>
      <c r="F6" s="88"/>
      <c r="G6" s="88"/>
      <c r="H6" s="88"/>
      <c r="I6" s="88"/>
    </row>
    <row r="7" spans="1:9">
      <c r="A7" s="88"/>
      <c r="B7" s="88"/>
      <c r="C7" s="88"/>
      <c r="D7" s="88"/>
      <c r="E7" s="88"/>
      <c r="F7" s="88"/>
      <c r="G7" s="88"/>
      <c r="H7" s="88"/>
      <c r="I7" s="88"/>
    </row>
    <row r="8" spans="1:9">
      <c r="A8" s="107" t="s">
        <v>146</v>
      </c>
      <c r="B8" s="88"/>
      <c r="C8" s="88"/>
      <c r="D8" s="88"/>
      <c r="E8" s="88"/>
      <c r="F8" s="88"/>
      <c r="G8" s="88"/>
      <c r="H8" s="88"/>
      <c r="I8" s="88"/>
    </row>
    <row r="9" spans="1:9" ht="26.25">
      <c r="A9" s="89" t="s">
        <v>147</v>
      </c>
      <c r="B9" s="90" t="s">
        <v>148</v>
      </c>
      <c r="C9" s="90" t="s">
        <v>149</v>
      </c>
      <c r="D9" s="91" t="s">
        <v>150</v>
      </c>
      <c r="E9" s="116" t="s">
        <v>151</v>
      </c>
      <c r="F9" s="88"/>
      <c r="G9" s="88"/>
      <c r="H9" s="88"/>
      <c r="I9" s="88"/>
    </row>
    <row r="10" spans="1:9" ht="12.95" customHeight="1">
      <c r="A10" s="74" t="s">
        <v>152</v>
      </c>
      <c r="B10" s="77">
        <f>IFERROR(VLOOKUP($A10,'cas 3 données'!$A$3:$E$17,2,FALSE),"code erroné")</f>
        <v>1</v>
      </c>
      <c r="C10" s="77">
        <f>IFERROR(VLOOKUP($A10,'cas 3 données'!$A$3:$E$17,3,FALSE),"code erroné")</f>
        <v>3</v>
      </c>
      <c r="D10" s="77" t="str">
        <f>IFERROR(VLOOKUP($A10,'cas 3 données'!$A$3:$E$17,4,FALSE),"code erroné")</f>
        <v>T2</v>
      </c>
      <c r="E10" s="77">
        <f>IFERROR(VLOOKUP($A10,'cas 3 données'!$A$3:$E$17,5,FALSE),"code erroné")</f>
        <v>275000</v>
      </c>
      <c r="F10" s="88"/>
      <c r="G10" s="88"/>
      <c r="H10" s="88"/>
      <c r="I10" s="88"/>
    </row>
    <row r="11" spans="1:9" ht="12.95" customHeight="1">
      <c r="A11" s="74" t="s">
        <v>153</v>
      </c>
      <c r="B11" s="77">
        <f>IFERROR(VLOOKUP($A11,'cas 3 données'!$A$3:$E$17,2,FALSE),"code erroné")</f>
        <v>1</v>
      </c>
      <c r="C11" s="77">
        <f>IFERROR(VLOOKUP($A11,'cas 3 données'!$A$3:$E$17,3,FALSE),"code erroné")</f>
        <v>2</v>
      </c>
      <c r="D11" s="77" t="str">
        <f>IFERROR(VLOOKUP($A11,'cas 3 données'!$A$3:$E$17,4,FALSE),"code erroné")</f>
        <v>T3</v>
      </c>
      <c r="E11" s="77">
        <f>IFERROR(VLOOKUP($A11,'cas 3 données'!$A$3:$E$17,5,FALSE),"code erroné")</f>
        <v>375000</v>
      </c>
      <c r="F11" s="88"/>
      <c r="G11" s="88"/>
      <c r="H11" s="88"/>
      <c r="I11" s="88"/>
    </row>
    <row r="12" spans="1:9" ht="12.95" customHeight="1">
      <c r="A12" s="74" t="s">
        <v>154</v>
      </c>
      <c r="B12" s="77">
        <f>IFERROR(VLOOKUP($A12,'cas 3 données'!$A$3:$E$17,2,FALSE),"code erroné")</f>
        <v>1</v>
      </c>
      <c r="C12" s="77">
        <f>IFERROR(VLOOKUP($A12,'cas 3 données'!$A$3:$E$17,3,FALSE),"code erroné")</f>
        <v>3</v>
      </c>
      <c r="D12" s="77" t="str">
        <f>IFERROR(VLOOKUP($A12,'cas 3 données'!$A$3:$E$17,4,FALSE),"code erroné")</f>
        <v>T2</v>
      </c>
      <c r="E12" s="77">
        <f>IFERROR(VLOOKUP($A12,'cas 3 données'!$A$3:$E$17,5,FALSE),"code erroné")</f>
        <v>110000</v>
      </c>
      <c r="F12" s="88"/>
      <c r="G12" s="88"/>
      <c r="H12" s="88"/>
      <c r="I12" s="88"/>
    </row>
    <row r="13" spans="1:9" ht="12.95" customHeight="1">
      <c r="A13" s="74" t="s">
        <v>155</v>
      </c>
      <c r="B13" s="77">
        <f>IFERROR(VLOOKUP($A13,'cas 3 données'!$A$3:$E$17,2,FALSE),"code erroné")</f>
        <v>2</v>
      </c>
      <c r="C13" s="77">
        <f>IFERROR(VLOOKUP($A13,'cas 3 données'!$A$3:$E$17,3,FALSE),"code erroné")</f>
        <v>0</v>
      </c>
      <c r="D13" s="77" t="str">
        <f>IFERROR(VLOOKUP($A13,'cas 3 données'!$A$3:$E$17,4,FALSE),"code erroné")</f>
        <v>T3</v>
      </c>
      <c r="E13" s="77">
        <f>IFERROR(VLOOKUP($A13,'cas 3 données'!$A$3:$E$17,5,FALSE),"code erroné")</f>
        <v>286000</v>
      </c>
      <c r="F13" s="88"/>
      <c r="G13" s="88"/>
      <c r="H13" s="88"/>
      <c r="I13" s="88"/>
    </row>
    <row r="14" spans="1:9" ht="12.95" customHeight="1">
      <c r="A14" s="74" t="s">
        <v>156</v>
      </c>
      <c r="B14" s="77">
        <f>IFERROR(VLOOKUP($A14,'cas 3 données'!$A$3:$E$17,2,FALSE),"code erroné")</f>
        <v>2</v>
      </c>
      <c r="C14" s="77">
        <f>IFERROR(VLOOKUP($A14,'cas 3 données'!$A$3:$E$17,3,FALSE),"code erroné")</f>
        <v>1</v>
      </c>
      <c r="D14" s="77" t="str">
        <f>IFERROR(VLOOKUP($A14,'cas 3 données'!$A$3:$E$17,4,FALSE),"code erroné")</f>
        <v>T3</v>
      </c>
      <c r="E14" s="77">
        <f>IFERROR(VLOOKUP($A14,'cas 3 données'!$A$3:$E$17,5,FALSE),"code erroné")</f>
        <v>325000</v>
      </c>
      <c r="F14" s="88"/>
      <c r="G14" s="88"/>
      <c r="H14" s="88"/>
      <c r="I14" s="88"/>
    </row>
    <row r="15" spans="1:9" ht="12.95" customHeight="1">
      <c r="A15" s="74" t="s">
        <v>157</v>
      </c>
      <c r="B15" s="77" t="str">
        <f>IFERROR(VLOOKUP($A15,'cas 3 données'!$A$3:$E$17,2,FALSE),"code erroné")</f>
        <v>code erroné</v>
      </c>
      <c r="C15" s="77" t="str">
        <f>IFERROR(VLOOKUP($A15,'cas 3 données'!$A$3:$E$17,3,FALSE),"")</f>
        <v/>
      </c>
      <c r="D15" s="77" t="str">
        <f>IFERROR(VLOOKUP($A15,'cas 3 données'!$A$3:$E$17,4,FALSE),"")</f>
        <v/>
      </c>
      <c r="E15" s="77" t="str">
        <f>IFERROR(VLOOKUP($A15,'cas 3 données'!$A$3:$E$17,5,FALSE),"")</f>
        <v/>
      </c>
      <c r="F15" s="88"/>
      <c r="G15" s="88"/>
      <c r="H15" s="88"/>
      <c r="I15" s="88"/>
    </row>
    <row r="16" spans="1:9" ht="12.95" customHeight="1">
      <c r="A16" s="79"/>
      <c r="B16" s="82"/>
      <c r="C16" s="82"/>
      <c r="D16" s="81"/>
      <c r="E16" s="92"/>
      <c r="F16" s="88"/>
      <c r="G16" s="88"/>
      <c r="H16" s="88"/>
      <c r="I16" s="88"/>
    </row>
    <row r="17" spans="1:9" ht="12.95" customHeight="1">
      <c r="A17" s="84"/>
      <c r="B17" s="84"/>
      <c r="C17" s="149" t="s">
        <v>158</v>
      </c>
      <c r="D17" s="163"/>
      <c r="E17" s="87">
        <f>SUM(E10:E14)</f>
        <v>1371000</v>
      </c>
      <c r="F17" s="88"/>
      <c r="G17" s="88"/>
      <c r="H17" s="88"/>
      <c r="I17" s="88"/>
    </row>
    <row r="18" spans="1:9">
      <c r="A18" s="88"/>
      <c r="B18" s="88"/>
      <c r="C18" s="88"/>
      <c r="D18" s="88"/>
      <c r="E18" s="88"/>
      <c r="F18" s="88"/>
      <c r="G18" s="88"/>
      <c r="H18" s="88"/>
      <c r="I18" s="88"/>
    </row>
    <row r="19" spans="1:9">
      <c r="A19" s="107" t="s">
        <v>159</v>
      </c>
      <c r="B19" s="88"/>
      <c r="C19" s="88"/>
      <c r="D19" s="88"/>
      <c r="E19" s="88"/>
      <c r="F19" s="88"/>
      <c r="G19" s="88"/>
      <c r="H19" s="88"/>
      <c r="I19" s="88"/>
    </row>
    <row r="20" spans="1:9" ht="29.25" customHeight="1">
      <c r="A20" s="70" t="s">
        <v>147</v>
      </c>
      <c r="B20" s="71" t="s">
        <v>160</v>
      </c>
      <c r="C20" s="72" t="s">
        <v>161</v>
      </c>
      <c r="D20" s="71" t="s">
        <v>162</v>
      </c>
      <c r="E20" s="72" t="s">
        <v>163</v>
      </c>
      <c r="F20" s="71" t="s">
        <v>164</v>
      </c>
      <c r="G20" s="72" t="s">
        <v>165</v>
      </c>
      <c r="H20" s="71" t="s">
        <v>166</v>
      </c>
      <c r="I20" s="73" t="s">
        <v>167</v>
      </c>
    </row>
    <row r="21" spans="1:9" ht="12.95" customHeight="1">
      <c r="A21" s="74" t="s">
        <v>152</v>
      </c>
      <c r="B21" s="75">
        <v>1</v>
      </c>
      <c r="C21" s="77" t="str">
        <f>VLOOKUP(B21,'cas 3 données'!$G$8:$I$9,2)</f>
        <v>carrelage</v>
      </c>
      <c r="D21" s="75" t="s">
        <v>168</v>
      </c>
      <c r="E21" s="76">
        <f>IF(C21="code erroné","",IFERROR(VLOOKUP(B21,'cas 3 données'!$G$8:$I$9,3),""))</f>
        <v>30</v>
      </c>
      <c r="F21" s="76">
        <f>IF(C21="code erroné","",IFERROR(VLOOKUP(D21,'cas 3 données'!G13:I14,3),""))</f>
        <v>15</v>
      </c>
      <c r="G21" s="76">
        <f>E21+F21</f>
        <v>45</v>
      </c>
      <c r="H21" s="75">
        <v>30</v>
      </c>
      <c r="I21" s="78">
        <f>G21*H21</f>
        <v>1350</v>
      </c>
    </row>
    <row r="22" spans="1:9" ht="12.95" customHeight="1">
      <c r="A22" s="74" t="s">
        <v>155</v>
      </c>
      <c r="B22" s="75">
        <v>2</v>
      </c>
      <c r="C22" s="77" t="str">
        <f>VLOOKUP(B22,'cas 3 données'!$G$8:$I$9,2)</f>
        <v>parquet</v>
      </c>
      <c r="D22" s="75" t="s">
        <v>169</v>
      </c>
      <c r="E22" s="76">
        <f>IF(C22="code erroné","",IFERROR(VLOOKUP(B22,'cas 3 données'!$G$8:$I$9,3),""))</f>
        <v>35</v>
      </c>
      <c r="F22" s="76">
        <f>IF(C22="code erroné","",IFERROR(VLOOKUP(D22,'cas 3 données'!G14:I15,3),""))</f>
        <v>20</v>
      </c>
      <c r="G22" s="76">
        <f>E22+F22</f>
        <v>55</v>
      </c>
      <c r="H22" s="75">
        <v>40</v>
      </c>
      <c r="I22" s="78">
        <f>G22*H22</f>
        <v>2200</v>
      </c>
    </row>
    <row r="23" spans="1:9" ht="12.95" customHeight="1">
      <c r="A23" s="74" t="s">
        <v>156</v>
      </c>
      <c r="B23" s="75">
        <v>3</v>
      </c>
      <c r="C23" s="77" t="str">
        <f>IFERROR(VLOOKUP(B23,'cas 3 données'!$G$8:$I$9,2,FALSE),"code erroné")</f>
        <v>code erroné</v>
      </c>
      <c r="D23" s="75"/>
      <c r="E23" s="76" t="str">
        <f>IF(C23="code erroné","",IFERROR(VLOOKUP(B23,'cas 3 données'!$G$8:$I$9,3),""))</f>
        <v/>
      </c>
      <c r="F23" s="76" t="str">
        <f>IF(C23="code erroné","",IFERROR(VLOOKUP(D23,'cas 3 données'!G15:I16,3),""))</f>
        <v/>
      </c>
      <c r="G23" s="76"/>
      <c r="H23" s="75"/>
      <c r="I23" s="78"/>
    </row>
    <row r="24" spans="1:9" ht="12.95" customHeight="1">
      <c r="A24" s="79"/>
      <c r="B24" s="80"/>
      <c r="C24" s="81"/>
      <c r="D24" s="80"/>
      <c r="E24" s="81"/>
      <c r="F24" s="82"/>
      <c r="G24" s="81"/>
      <c r="H24" s="80"/>
      <c r="I24" s="83"/>
    </row>
    <row r="25" spans="1:9" ht="12.95" customHeight="1">
      <c r="A25" s="84"/>
      <c r="B25" s="84"/>
      <c r="C25" s="84"/>
      <c r="D25" s="84"/>
      <c r="E25" s="84"/>
      <c r="F25" s="84"/>
      <c r="G25" s="85" t="s">
        <v>170</v>
      </c>
      <c r="H25" s="86"/>
      <c r="I25" s="87">
        <f>SUM(I21:I22)</f>
        <v>3550</v>
      </c>
    </row>
    <row r="26" spans="1:9">
      <c r="A26" s="107" t="s">
        <v>171</v>
      </c>
      <c r="B26" s="88"/>
      <c r="C26" s="88"/>
      <c r="D26" s="88"/>
      <c r="E26" s="88"/>
      <c r="F26" s="88"/>
      <c r="G26" s="88"/>
      <c r="H26" s="88"/>
      <c r="I26" s="88"/>
    </row>
    <row r="27" spans="1:9">
      <c r="A27" s="152" t="s">
        <v>172</v>
      </c>
      <c r="B27" s="153"/>
      <c r="C27" s="153"/>
      <c r="D27" s="154"/>
      <c r="E27" s="88"/>
      <c r="F27" s="88"/>
      <c r="G27" s="88"/>
      <c r="H27" s="88"/>
    </row>
    <row r="28" spans="1:9" ht="28.5" customHeight="1">
      <c r="A28" s="59" t="s">
        <v>173</v>
      </c>
      <c r="B28" s="49" t="s">
        <v>174</v>
      </c>
      <c r="C28" s="60" t="s">
        <v>175</v>
      </c>
      <c r="D28" s="49" t="s">
        <v>167</v>
      </c>
      <c r="E28" s="88"/>
      <c r="F28" s="88"/>
      <c r="G28" s="88"/>
      <c r="H28" s="88"/>
    </row>
    <row r="29" spans="1:9" ht="12.95" customHeight="1">
      <c r="A29" s="93" t="s">
        <v>153</v>
      </c>
      <c r="B29" s="77">
        <f>VLOOKUP(VLOOKUP(A29,'cas 3 données'!$A$3:$E$17,2,FALSE),'cas 3 données'!$G$18:$H$19,2,FALSE)</f>
        <v>3000</v>
      </c>
      <c r="C29" s="94">
        <v>2</v>
      </c>
      <c r="D29" s="77">
        <f>B29*C29</f>
        <v>6000</v>
      </c>
      <c r="E29" s="88"/>
      <c r="F29" s="88"/>
      <c r="G29" s="88"/>
      <c r="H29" s="88"/>
    </row>
    <row r="30" spans="1:9" ht="12.95" customHeight="1">
      <c r="A30" s="93" t="s">
        <v>155</v>
      </c>
      <c r="B30" s="77">
        <f>VLOOKUP(VLOOKUP(A30,'cas 3 données'!$A$3:$E$17,2,FALSE),'cas 3 données'!$G$18:$H$19,2,FALSE)</f>
        <v>2800</v>
      </c>
      <c r="C30" s="94">
        <v>1</v>
      </c>
      <c r="D30" s="77">
        <f>B30*C30</f>
        <v>2800</v>
      </c>
      <c r="E30" s="88"/>
      <c r="F30" s="88"/>
      <c r="G30" s="88"/>
      <c r="H30" s="88"/>
    </row>
    <row r="31" spans="1:9" ht="12.95" customHeight="1" thickBot="1">
      <c r="A31" s="95"/>
      <c r="B31" s="82"/>
      <c r="C31" s="94"/>
      <c r="D31" s="77"/>
      <c r="E31" s="88"/>
      <c r="F31" s="88"/>
      <c r="G31" s="88"/>
      <c r="H31" s="88"/>
    </row>
    <row r="32" spans="1:9" ht="12.95" customHeight="1">
      <c r="A32" s="84"/>
      <c r="B32" s="85" t="s">
        <v>170</v>
      </c>
      <c r="C32" s="86"/>
      <c r="D32" s="96">
        <f>SUM(D29:D30)</f>
        <v>8800</v>
      </c>
      <c r="E32" s="88"/>
      <c r="F32" s="88"/>
      <c r="G32" s="88"/>
      <c r="H32" s="88"/>
    </row>
    <row r="33" spans="1:9" ht="16.5" thickBot="1">
      <c r="A33" s="88"/>
      <c r="B33" s="88"/>
      <c r="C33" s="88"/>
      <c r="D33" s="88"/>
      <c r="E33" s="88"/>
      <c r="F33" s="88"/>
      <c r="G33" s="88"/>
      <c r="H33" s="88"/>
      <c r="I33" s="88"/>
    </row>
    <row r="34" spans="1:9">
      <c r="A34" s="109" t="s">
        <v>176</v>
      </c>
      <c r="B34" s="110"/>
      <c r="C34" s="110"/>
      <c r="D34" s="110"/>
      <c r="E34" s="111"/>
      <c r="F34" s="88"/>
      <c r="G34" s="88"/>
      <c r="H34" s="88"/>
    </row>
    <row r="35" spans="1:9" ht="27.75" customHeight="1">
      <c r="A35" s="49" t="s">
        <v>173</v>
      </c>
      <c r="B35" s="49" t="s">
        <v>177</v>
      </c>
      <c r="C35" s="49" t="s">
        <v>178</v>
      </c>
      <c r="D35" s="60" t="s">
        <v>71</v>
      </c>
      <c r="E35" s="49" t="s">
        <v>167</v>
      </c>
      <c r="F35" s="88"/>
      <c r="G35" s="88"/>
      <c r="H35" s="88"/>
    </row>
    <row r="36" spans="1:9" ht="12.95" customHeight="1">
      <c r="A36" s="97" t="s">
        <v>154</v>
      </c>
      <c r="B36" s="97" t="s">
        <v>179</v>
      </c>
      <c r="C36" s="102">
        <f>IFERROR(VLOOKUP(VLOOKUP(A36,'cas 3 données'!$A$3:$E$17,2,FALSE),'cas 3 données'!$G$23:$I$24,IF(B36="SIMPLE",2,3)),"")</f>
        <v>6000</v>
      </c>
      <c r="D36" s="98">
        <v>1</v>
      </c>
      <c r="E36" s="102">
        <f>C36*D36</f>
        <v>6000</v>
      </c>
      <c r="F36" s="88"/>
      <c r="G36" s="88"/>
      <c r="H36" s="88"/>
    </row>
    <row r="37" spans="1:9" ht="12.95" customHeight="1">
      <c r="A37" s="75" t="s">
        <v>156</v>
      </c>
      <c r="B37" s="75" t="s">
        <v>180</v>
      </c>
      <c r="C37" s="102">
        <f>IFERROR(VLOOKUP(VLOOKUP(A37,'cas 3 données'!$A$3:$E$17,2,FALSE),'cas 3 données'!$G$23:$I$24,IF(B37="SIMPLE",2,3)),"")</f>
        <v>7500</v>
      </c>
      <c r="D37" s="94">
        <v>2</v>
      </c>
      <c r="E37" s="102">
        <f t="shared" ref="E37:E39" si="0">C37*D37</f>
        <v>15000</v>
      </c>
      <c r="F37" s="88"/>
      <c r="G37" s="88"/>
      <c r="H37" s="88"/>
    </row>
    <row r="38" spans="1:9" ht="12.95" customHeight="1">
      <c r="A38" s="75" t="s">
        <v>157</v>
      </c>
      <c r="B38" s="75"/>
      <c r="C38" s="102" t="str">
        <f>IFERROR(VLOOKUP(VLOOKUP(A38,'cas 3 données'!$A$3:$E$17,2,FALSE),'cas 3 données'!$G$23:$I$24,IF(B38="SIMPLE",2,3)),"")</f>
        <v/>
      </c>
      <c r="D38" s="94"/>
      <c r="E38" s="102">
        <v>0</v>
      </c>
      <c r="F38" s="88"/>
      <c r="G38" s="88"/>
      <c r="H38" s="88"/>
    </row>
    <row r="39" spans="1:9" ht="12.95" customHeight="1">
      <c r="A39" s="80"/>
      <c r="B39" s="80"/>
      <c r="C39" s="92"/>
      <c r="D39" s="99"/>
      <c r="E39" s="102">
        <f t="shared" si="0"/>
        <v>0</v>
      </c>
      <c r="F39" s="88"/>
      <c r="G39" s="88"/>
      <c r="H39" s="88"/>
    </row>
    <row r="40" spans="1:9" ht="12.95" customHeight="1">
      <c r="A40" s="88"/>
      <c r="B40" s="88"/>
      <c r="C40" s="103" t="s">
        <v>170</v>
      </c>
      <c r="D40" s="112"/>
      <c r="E40" s="113">
        <f>SUM(E36:E39)</f>
        <v>21000</v>
      </c>
      <c r="F40" s="88"/>
      <c r="G40" s="88"/>
      <c r="H40" s="88"/>
    </row>
    <row r="41" spans="1:9" ht="16.5" thickBot="1">
      <c r="A41" s="88"/>
      <c r="B41" s="88"/>
      <c r="C41" s="88"/>
      <c r="D41" s="88"/>
      <c r="E41" s="88"/>
      <c r="F41" s="88"/>
      <c r="G41" s="88"/>
      <c r="H41" s="88"/>
      <c r="I41" s="88"/>
    </row>
    <row r="42" spans="1:9" ht="16.5" thickBot="1">
      <c r="A42" s="155" t="s">
        <v>181</v>
      </c>
      <c r="B42" s="156"/>
      <c r="C42" s="157"/>
      <c r="D42" s="88"/>
      <c r="E42" s="88"/>
      <c r="F42" s="88"/>
      <c r="G42" s="88"/>
      <c r="H42" s="88"/>
      <c r="I42" s="88"/>
    </row>
    <row r="43" spans="1:9" ht="14.1" customHeight="1" thickBot="1">
      <c r="A43" s="158" t="s">
        <v>182</v>
      </c>
      <c r="B43" s="159"/>
      <c r="C43" s="104" t="s">
        <v>74</v>
      </c>
      <c r="D43" s="88"/>
      <c r="E43" s="88"/>
      <c r="F43" s="88"/>
      <c r="G43" s="88"/>
      <c r="H43" s="88"/>
      <c r="I43" s="88"/>
    </row>
    <row r="44" spans="1:9" ht="12.95" customHeight="1">
      <c r="A44" s="160" t="s">
        <v>183</v>
      </c>
      <c r="B44" s="161"/>
      <c r="C44" s="100">
        <f>E17</f>
        <v>1371000</v>
      </c>
      <c r="D44" s="88"/>
      <c r="E44" s="88"/>
      <c r="F44" s="88"/>
      <c r="G44" s="88"/>
      <c r="H44" s="88"/>
      <c r="I44" s="88"/>
    </row>
    <row r="45" spans="1:9" ht="12.95" customHeight="1">
      <c r="A45" s="160" t="s">
        <v>184</v>
      </c>
      <c r="B45" s="161"/>
      <c r="C45" s="101">
        <f>I25</f>
        <v>3550</v>
      </c>
      <c r="D45" s="88"/>
      <c r="E45" s="88"/>
      <c r="F45" s="88"/>
      <c r="G45" s="88"/>
      <c r="H45" s="88"/>
      <c r="I45" s="88"/>
    </row>
    <row r="46" spans="1:9" ht="12.95" customHeight="1">
      <c r="A46" s="160" t="s">
        <v>172</v>
      </c>
      <c r="B46" s="161"/>
      <c r="C46" s="101">
        <f>D32</f>
        <v>8800</v>
      </c>
      <c r="D46" s="88"/>
      <c r="E46" s="88"/>
      <c r="F46" s="88"/>
      <c r="G46" s="88"/>
      <c r="H46" s="88"/>
      <c r="I46" s="88"/>
    </row>
    <row r="47" spans="1:9" ht="12.95" customHeight="1">
      <c r="A47" s="160" t="s">
        <v>176</v>
      </c>
      <c r="B47" s="161"/>
      <c r="C47" s="101">
        <f>E40</f>
        <v>21000</v>
      </c>
      <c r="D47" s="88"/>
      <c r="F47" s="88"/>
      <c r="G47" s="88"/>
      <c r="H47" s="88"/>
      <c r="I47" s="88"/>
    </row>
    <row r="48" spans="1:9" ht="12.95" customHeight="1">
      <c r="A48" s="160" t="s">
        <v>185</v>
      </c>
      <c r="B48" s="161"/>
      <c r="C48" s="105">
        <f>SUM(C44:C47)</f>
        <v>1404350</v>
      </c>
      <c r="D48" s="88"/>
      <c r="E48" s="88"/>
      <c r="F48" s="88"/>
      <c r="G48" s="88"/>
      <c r="H48" s="88"/>
      <c r="I48" s="88"/>
    </row>
    <row r="49" spans="1:9" ht="15.95" customHeight="1">
      <c r="A49" s="160" t="s">
        <v>81</v>
      </c>
      <c r="B49" s="161"/>
      <c r="C49" s="101">
        <f>VLOOKUP(C48,'cas 3 données'!A22:C24,IF(C6="O",2,3))*C48</f>
        <v>42130.5</v>
      </c>
      <c r="D49" s="88"/>
      <c r="E49" s="88"/>
      <c r="F49" s="88"/>
      <c r="G49" s="88"/>
      <c r="H49" s="88"/>
      <c r="I49" s="88"/>
    </row>
    <row r="50" spans="1:9" ht="12.95" customHeight="1">
      <c r="A50" s="149" t="s">
        <v>186</v>
      </c>
      <c r="B50" s="150"/>
      <c r="C50" s="114">
        <f>C48-C49</f>
        <v>1362219.5</v>
      </c>
      <c r="D50" s="88"/>
      <c r="E50" s="88"/>
      <c r="F50" s="88"/>
      <c r="G50" s="88"/>
      <c r="H50" s="88"/>
      <c r="I50" s="88"/>
    </row>
    <row r="51" spans="1:9">
      <c r="A51" s="88"/>
      <c r="B51" s="88"/>
      <c r="C51" s="88"/>
      <c r="D51" s="88"/>
      <c r="E51" s="88"/>
      <c r="F51" s="88"/>
      <c r="G51" s="88"/>
      <c r="H51" s="88"/>
      <c r="I51" s="88"/>
    </row>
    <row r="52" spans="1:9">
      <c r="A52" s="88"/>
      <c r="B52" s="88"/>
      <c r="C52" s="88"/>
      <c r="D52" s="88"/>
      <c r="E52" s="88"/>
      <c r="F52" s="88"/>
      <c r="G52" s="88"/>
      <c r="H52" s="88"/>
      <c r="I52" s="88"/>
    </row>
    <row r="53" spans="1:9">
      <c r="A53" s="88"/>
      <c r="B53" s="88"/>
      <c r="C53" s="88"/>
      <c r="D53" s="88"/>
      <c r="E53" s="88"/>
      <c r="F53" s="88"/>
      <c r="G53" s="88"/>
      <c r="H53" s="88"/>
      <c r="I53" s="88"/>
    </row>
    <row r="54" spans="1:9">
      <c r="A54" s="88"/>
      <c r="B54" s="88"/>
      <c r="C54" s="88"/>
      <c r="D54" s="88"/>
      <c r="E54" s="88"/>
      <c r="F54" s="88"/>
      <c r="G54" s="88"/>
      <c r="H54" s="88"/>
      <c r="I54" s="88"/>
    </row>
    <row r="55" spans="1:9">
      <c r="A55" s="88"/>
      <c r="B55" s="88"/>
      <c r="C55" s="88"/>
      <c r="D55" s="88"/>
      <c r="E55" s="88"/>
      <c r="F55" s="88"/>
      <c r="G55" s="88"/>
      <c r="H55" s="88"/>
      <c r="I55" s="88"/>
    </row>
    <row r="56" spans="1:9">
      <c r="A56" s="88"/>
      <c r="B56" s="88"/>
      <c r="C56" s="88"/>
      <c r="D56" s="88"/>
      <c r="E56" s="88"/>
      <c r="F56" s="88"/>
      <c r="G56" s="88"/>
      <c r="H56" s="88"/>
      <c r="I56" s="88"/>
    </row>
    <row r="57" spans="1:9">
      <c r="A57" s="88"/>
      <c r="B57" s="88"/>
      <c r="C57" s="88"/>
      <c r="D57" s="88"/>
      <c r="E57" s="88"/>
      <c r="F57" s="88"/>
      <c r="G57" s="88"/>
      <c r="H57" s="88"/>
      <c r="I57" s="88"/>
    </row>
    <row r="58" spans="1:9">
      <c r="A58" s="88"/>
      <c r="B58" s="88"/>
      <c r="C58" s="88"/>
      <c r="D58" s="88"/>
      <c r="E58" s="88"/>
      <c r="F58" s="88"/>
      <c r="G58" s="88"/>
      <c r="H58" s="88"/>
      <c r="I58" s="88"/>
    </row>
    <row r="59" spans="1:9">
      <c r="A59" s="88"/>
      <c r="B59" s="88"/>
      <c r="C59" s="88"/>
      <c r="D59" s="88"/>
      <c r="E59" s="88"/>
      <c r="F59" s="88"/>
      <c r="G59" s="88"/>
      <c r="H59" s="88"/>
      <c r="I59" s="88"/>
    </row>
    <row r="60" spans="1:9">
      <c r="A60" s="88"/>
      <c r="B60" s="88"/>
      <c r="C60" s="88"/>
      <c r="D60" s="88"/>
      <c r="E60" s="88"/>
      <c r="F60" s="88"/>
      <c r="G60" s="88"/>
      <c r="H60" s="88"/>
      <c r="I60" s="88"/>
    </row>
    <row r="61" spans="1:9">
      <c r="A61" s="88"/>
      <c r="B61" s="88"/>
      <c r="C61" s="88"/>
      <c r="D61" s="88"/>
      <c r="E61" s="88"/>
      <c r="F61" s="88"/>
      <c r="G61" s="88"/>
      <c r="H61" s="88"/>
      <c r="I61" s="88"/>
    </row>
    <row r="62" spans="1:9">
      <c r="A62" s="88"/>
      <c r="B62" s="88"/>
      <c r="C62" s="88"/>
      <c r="D62" s="88"/>
      <c r="E62" s="88"/>
      <c r="F62" s="88"/>
      <c r="G62" s="88"/>
      <c r="H62" s="88"/>
      <c r="I62" s="88"/>
    </row>
    <row r="63" spans="1:9">
      <c r="A63" s="88"/>
      <c r="B63" s="88"/>
      <c r="C63" s="88"/>
      <c r="D63" s="88"/>
      <c r="E63" s="88"/>
      <c r="F63" s="88"/>
      <c r="G63" s="88"/>
      <c r="H63" s="88"/>
      <c r="I63" s="88"/>
    </row>
    <row r="64" spans="1:9">
      <c r="A64" s="88"/>
      <c r="B64" s="88"/>
      <c r="C64" s="88"/>
      <c r="D64" s="88"/>
      <c r="E64" s="88"/>
      <c r="F64" s="88"/>
      <c r="G64" s="88"/>
      <c r="H64" s="88"/>
      <c r="I64" s="88"/>
    </row>
    <row r="65" spans="1:9">
      <c r="A65" s="88"/>
      <c r="B65" s="88"/>
      <c r="C65" s="88"/>
      <c r="D65" s="88"/>
      <c r="E65" s="88"/>
      <c r="F65" s="88"/>
      <c r="G65" s="88"/>
      <c r="H65" s="88"/>
      <c r="I65" s="88"/>
    </row>
    <row r="66" spans="1:9">
      <c r="A66" s="88"/>
      <c r="B66" s="88"/>
      <c r="C66" s="88"/>
      <c r="D66" s="88"/>
      <c r="E66" s="88"/>
      <c r="F66" s="88"/>
      <c r="G66" s="88"/>
      <c r="H66" s="88"/>
      <c r="I66" s="88"/>
    </row>
    <row r="67" spans="1:9">
      <c r="A67" s="88"/>
      <c r="B67" s="88"/>
      <c r="C67" s="88"/>
      <c r="D67" s="88"/>
      <c r="E67" s="88"/>
      <c r="F67" s="88"/>
      <c r="G67" s="88"/>
      <c r="H67" s="88"/>
      <c r="I67" s="88"/>
    </row>
    <row r="68" spans="1:9">
      <c r="A68" s="88"/>
      <c r="B68" s="88"/>
      <c r="C68" s="88"/>
      <c r="D68" s="88"/>
      <c r="E68" s="88"/>
      <c r="F68" s="88"/>
      <c r="G68" s="88"/>
      <c r="H68" s="88"/>
      <c r="I68" s="88"/>
    </row>
    <row r="69" spans="1:9">
      <c r="A69" s="88"/>
      <c r="B69" s="88"/>
      <c r="C69" s="88"/>
      <c r="D69" s="88"/>
      <c r="E69" s="88"/>
      <c r="F69" s="88"/>
      <c r="G69" s="88"/>
      <c r="H69" s="88"/>
      <c r="I69" s="88"/>
    </row>
    <row r="70" spans="1:9">
      <c r="A70" s="88"/>
      <c r="B70" s="88"/>
      <c r="C70" s="88"/>
      <c r="D70" s="88"/>
      <c r="E70" s="88"/>
      <c r="F70" s="88"/>
      <c r="G70" s="88"/>
      <c r="H70" s="88"/>
      <c r="I70" s="88"/>
    </row>
    <row r="71" spans="1:9">
      <c r="A71" s="88"/>
      <c r="B71" s="88"/>
      <c r="C71" s="88"/>
      <c r="D71" s="88"/>
      <c r="E71" s="88"/>
      <c r="F71" s="88"/>
      <c r="G71" s="88"/>
      <c r="H71" s="88"/>
      <c r="I71" s="88"/>
    </row>
    <row r="72" spans="1:9">
      <c r="A72" s="88"/>
      <c r="B72" s="88"/>
      <c r="C72" s="88"/>
      <c r="D72" s="88"/>
      <c r="E72" s="88"/>
      <c r="F72" s="88"/>
      <c r="G72" s="88"/>
      <c r="H72" s="88"/>
      <c r="I72" s="88"/>
    </row>
    <row r="73" spans="1:9">
      <c r="A73" s="88"/>
      <c r="B73" s="88"/>
      <c r="C73" s="88"/>
      <c r="D73" s="88"/>
      <c r="E73" s="88"/>
      <c r="F73" s="88"/>
      <c r="G73" s="88"/>
      <c r="H73" s="88"/>
      <c r="I73" s="88"/>
    </row>
    <row r="74" spans="1:9">
      <c r="A74" s="88"/>
      <c r="B74" s="88"/>
      <c r="C74" s="88"/>
      <c r="D74" s="88"/>
      <c r="E74" s="88"/>
      <c r="F74" s="88"/>
      <c r="G74" s="88"/>
      <c r="H74" s="88"/>
      <c r="I74" s="88"/>
    </row>
    <row r="75" spans="1:9">
      <c r="A75" s="88"/>
      <c r="B75" s="88"/>
      <c r="C75" s="88"/>
      <c r="D75" s="88"/>
      <c r="E75" s="88"/>
      <c r="F75" s="88"/>
      <c r="G75" s="88"/>
      <c r="H75" s="88"/>
      <c r="I75" s="88"/>
    </row>
    <row r="76" spans="1:9">
      <c r="A76" s="88"/>
      <c r="B76" s="88"/>
      <c r="C76" s="88"/>
      <c r="D76" s="88"/>
      <c r="E76" s="88"/>
      <c r="F76" s="88"/>
      <c r="G76" s="88"/>
      <c r="H76" s="88"/>
      <c r="I76" s="88"/>
    </row>
    <row r="77" spans="1:9">
      <c r="A77" s="88"/>
      <c r="B77" s="88"/>
      <c r="C77" s="88"/>
      <c r="D77" s="88"/>
      <c r="E77" s="88"/>
      <c r="F77" s="88"/>
      <c r="G77" s="88"/>
      <c r="H77" s="88"/>
      <c r="I77" s="88"/>
    </row>
    <row r="78" spans="1:9">
      <c r="A78" s="88"/>
      <c r="B78" s="88"/>
      <c r="C78" s="88"/>
      <c r="D78" s="88"/>
      <c r="E78" s="88"/>
      <c r="F78" s="88"/>
      <c r="G78" s="88"/>
      <c r="H78" s="88"/>
      <c r="I78" s="88"/>
    </row>
    <row r="79" spans="1:9">
      <c r="A79" s="88"/>
      <c r="B79" s="88"/>
      <c r="C79" s="88"/>
      <c r="D79" s="88"/>
      <c r="E79" s="88"/>
      <c r="F79" s="88"/>
      <c r="G79" s="88"/>
      <c r="H79" s="88"/>
      <c r="I79" s="88"/>
    </row>
    <row r="80" spans="1:9">
      <c r="A80" s="88"/>
      <c r="B80" s="88"/>
      <c r="C80" s="88"/>
      <c r="D80" s="88"/>
      <c r="E80" s="88"/>
      <c r="F80" s="88"/>
      <c r="G80" s="88"/>
      <c r="H80" s="88"/>
      <c r="I80" s="88"/>
    </row>
    <row r="81" spans="1:9">
      <c r="A81" s="88"/>
      <c r="B81" s="88"/>
      <c r="C81" s="88"/>
      <c r="D81" s="88"/>
      <c r="E81" s="88"/>
      <c r="F81" s="88"/>
      <c r="G81" s="88"/>
      <c r="H81" s="88"/>
      <c r="I81" s="88"/>
    </row>
    <row r="82" spans="1:9">
      <c r="A82" s="88"/>
      <c r="B82" s="88"/>
      <c r="C82" s="88"/>
      <c r="D82" s="88"/>
      <c r="E82" s="88"/>
      <c r="F82" s="88"/>
      <c r="G82" s="88"/>
      <c r="H82" s="88"/>
      <c r="I82" s="88"/>
    </row>
    <row r="83" spans="1:9">
      <c r="A83" s="88"/>
      <c r="B83" s="88"/>
      <c r="C83" s="88"/>
      <c r="D83" s="88"/>
      <c r="E83" s="88"/>
      <c r="F83" s="88"/>
      <c r="G83" s="88"/>
      <c r="H83" s="88"/>
      <c r="I83" s="88"/>
    </row>
    <row r="84" spans="1:9">
      <c r="A84" s="88"/>
      <c r="B84" s="88"/>
      <c r="C84" s="88"/>
      <c r="D84" s="88"/>
      <c r="E84" s="88"/>
      <c r="F84" s="88"/>
      <c r="G84" s="88"/>
      <c r="H84" s="88"/>
      <c r="I84" s="88"/>
    </row>
    <row r="85" spans="1:9">
      <c r="A85" s="88"/>
      <c r="B85" s="88"/>
      <c r="C85" s="88"/>
      <c r="D85" s="88"/>
      <c r="E85" s="88"/>
      <c r="F85" s="88"/>
      <c r="G85" s="88"/>
      <c r="H85" s="88"/>
      <c r="I85" s="88"/>
    </row>
    <row r="86" spans="1:9">
      <c r="A86" s="88"/>
      <c r="B86" s="88"/>
      <c r="C86" s="88"/>
      <c r="D86" s="88"/>
      <c r="E86" s="88"/>
      <c r="F86" s="88"/>
      <c r="G86" s="88"/>
      <c r="H86" s="88"/>
      <c r="I86" s="88"/>
    </row>
    <row r="87" spans="1:9">
      <c r="A87" s="88"/>
      <c r="B87" s="88"/>
      <c r="C87" s="88"/>
      <c r="D87" s="88"/>
      <c r="E87" s="88"/>
      <c r="F87" s="88"/>
      <c r="G87" s="88"/>
      <c r="H87" s="88"/>
      <c r="I87" s="88"/>
    </row>
    <row r="88" spans="1:9">
      <c r="A88" s="88"/>
      <c r="B88" s="88"/>
      <c r="C88" s="88"/>
      <c r="D88" s="88"/>
      <c r="E88" s="88"/>
      <c r="F88" s="88"/>
      <c r="G88" s="88"/>
      <c r="H88" s="88"/>
      <c r="I88" s="88"/>
    </row>
    <row r="89" spans="1:9">
      <c r="A89" s="88"/>
      <c r="B89" s="88"/>
      <c r="C89" s="88"/>
      <c r="D89" s="88"/>
      <c r="E89" s="88"/>
      <c r="F89" s="88"/>
      <c r="G89" s="88"/>
      <c r="H89" s="88"/>
      <c r="I89" s="88"/>
    </row>
    <row r="90" spans="1:9">
      <c r="A90" s="88"/>
      <c r="B90" s="88"/>
      <c r="C90" s="88"/>
      <c r="D90" s="88"/>
      <c r="E90" s="88"/>
      <c r="F90" s="88"/>
      <c r="G90" s="88"/>
      <c r="H90" s="88"/>
      <c r="I90" s="88"/>
    </row>
    <row r="91" spans="1:9">
      <c r="A91" s="88"/>
      <c r="B91" s="88"/>
      <c r="C91" s="88"/>
      <c r="D91" s="88"/>
      <c r="E91" s="88"/>
      <c r="F91" s="88"/>
      <c r="G91" s="88"/>
      <c r="H91" s="88"/>
      <c r="I91" s="88"/>
    </row>
    <row r="92" spans="1:9">
      <c r="A92" s="88"/>
      <c r="B92" s="88"/>
      <c r="C92" s="88"/>
      <c r="D92" s="88"/>
      <c r="E92" s="88"/>
      <c r="F92" s="88"/>
      <c r="G92" s="88"/>
      <c r="H92" s="88"/>
      <c r="I92" s="88"/>
    </row>
    <row r="93" spans="1:9">
      <c r="A93" s="88"/>
      <c r="B93" s="88"/>
      <c r="C93" s="88"/>
      <c r="D93" s="88"/>
      <c r="E93" s="88"/>
      <c r="F93" s="88"/>
      <c r="G93" s="88"/>
      <c r="H93" s="88"/>
      <c r="I93" s="88"/>
    </row>
    <row r="94" spans="1:9">
      <c r="A94" s="88"/>
      <c r="B94" s="88"/>
      <c r="C94" s="88"/>
      <c r="D94" s="88"/>
      <c r="E94" s="88"/>
      <c r="F94" s="88"/>
      <c r="G94" s="88"/>
      <c r="H94" s="88"/>
      <c r="I94" s="88"/>
    </row>
    <row r="95" spans="1:9">
      <c r="A95" s="88"/>
      <c r="B95" s="88"/>
      <c r="C95" s="88"/>
      <c r="D95" s="88"/>
      <c r="E95" s="88"/>
      <c r="F95" s="88"/>
      <c r="G95" s="88"/>
      <c r="H95" s="88"/>
      <c r="I95" s="88"/>
    </row>
    <row r="96" spans="1:9">
      <c r="A96" s="88"/>
      <c r="B96" s="88"/>
      <c r="C96" s="88"/>
      <c r="D96" s="88"/>
      <c r="E96" s="88"/>
      <c r="F96" s="88"/>
      <c r="G96" s="88"/>
      <c r="H96" s="88"/>
      <c r="I96" s="88"/>
    </row>
    <row r="97" spans="1:9">
      <c r="A97" s="88"/>
      <c r="B97" s="88"/>
      <c r="C97" s="88"/>
      <c r="D97" s="88"/>
      <c r="E97" s="88"/>
      <c r="F97" s="88"/>
      <c r="G97" s="88"/>
      <c r="H97" s="88"/>
      <c r="I97" s="88"/>
    </row>
    <row r="98" spans="1:9">
      <c r="A98" s="88"/>
      <c r="B98" s="88"/>
      <c r="C98" s="88"/>
      <c r="D98" s="88"/>
      <c r="E98" s="88"/>
      <c r="F98" s="88"/>
      <c r="G98" s="88"/>
      <c r="H98" s="88"/>
      <c r="I98" s="88"/>
    </row>
    <row r="99" spans="1:9">
      <c r="A99" s="88"/>
      <c r="B99" s="88"/>
      <c r="C99" s="88"/>
      <c r="D99" s="88"/>
      <c r="E99" s="88"/>
      <c r="F99" s="88"/>
      <c r="G99" s="88"/>
      <c r="H99" s="88"/>
      <c r="I99" s="88"/>
    </row>
    <row r="100" spans="1:9">
      <c r="A100" s="88"/>
      <c r="B100" s="88"/>
      <c r="C100" s="88"/>
      <c r="D100" s="88"/>
      <c r="E100" s="88"/>
      <c r="F100" s="88"/>
      <c r="G100" s="88"/>
      <c r="H100" s="88"/>
      <c r="I100" s="88"/>
    </row>
    <row r="101" spans="1:9">
      <c r="A101" s="88"/>
      <c r="B101" s="88"/>
      <c r="C101" s="88"/>
      <c r="D101" s="88"/>
      <c r="E101" s="88"/>
      <c r="F101" s="88"/>
      <c r="G101" s="88"/>
      <c r="H101" s="88"/>
      <c r="I101" s="88"/>
    </row>
    <row r="102" spans="1:9">
      <c r="A102" s="88"/>
      <c r="B102" s="88"/>
      <c r="C102" s="88"/>
      <c r="D102" s="88"/>
      <c r="E102" s="88"/>
      <c r="F102" s="88"/>
      <c r="G102" s="88"/>
      <c r="H102" s="88"/>
      <c r="I102" s="88"/>
    </row>
    <row r="103" spans="1:9">
      <c r="A103" s="88"/>
      <c r="B103" s="88"/>
      <c r="C103" s="88"/>
      <c r="D103" s="88"/>
      <c r="E103" s="88"/>
      <c r="F103" s="88"/>
      <c r="G103" s="88"/>
      <c r="H103" s="88"/>
      <c r="I103" s="88"/>
    </row>
    <row r="104" spans="1:9">
      <c r="A104" s="88"/>
      <c r="B104" s="88"/>
      <c r="C104" s="88"/>
      <c r="D104" s="88"/>
      <c r="E104" s="88"/>
      <c r="F104" s="88"/>
      <c r="G104" s="88"/>
      <c r="H104" s="88"/>
      <c r="I104" s="88"/>
    </row>
    <row r="105" spans="1:9">
      <c r="A105" s="88"/>
      <c r="B105" s="88"/>
      <c r="C105" s="88"/>
      <c r="D105" s="88"/>
      <c r="E105" s="88"/>
      <c r="F105" s="88"/>
      <c r="G105" s="88"/>
      <c r="H105" s="88"/>
      <c r="I105" s="88"/>
    </row>
    <row r="106" spans="1:9">
      <c r="A106" s="88"/>
      <c r="B106" s="88"/>
      <c r="C106" s="88"/>
      <c r="D106" s="88"/>
      <c r="E106" s="88"/>
      <c r="F106" s="88"/>
      <c r="G106" s="88"/>
      <c r="H106" s="88"/>
      <c r="I106" s="88"/>
    </row>
    <row r="107" spans="1:9">
      <c r="A107" s="88"/>
      <c r="B107" s="88"/>
      <c r="C107" s="88"/>
      <c r="D107" s="88"/>
      <c r="E107" s="88"/>
      <c r="F107" s="88"/>
      <c r="G107" s="88"/>
      <c r="H107" s="88"/>
      <c r="I107" s="88"/>
    </row>
    <row r="108" spans="1:9">
      <c r="A108" s="88"/>
      <c r="B108" s="88"/>
      <c r="C108" s="88"/>
      <c r="D108" s="88"/>
      <c r="E108" s="88"/>
      <c r="F108" s="88"/>
      <c r="G108" s="88"/>
      <c r="H108" s="88"/>
      <c r="I108" s="88"/>
    </row>
    <row r="109" spans="1:9">
      <c r="A109" s="88"/>
      <c r="B109" s="88"/>
      <c r="C109" s="88"/>
      <c r="D109" s="88"/>
      <c r="E109" s="88"/>
      <c r="F109" s="88"/>
      <c r="G109" s="88"/>
      <c r="H109" s="88"/>
      <c r="I109" s="88"/>
    </row>
    <row r="110" spans="1:9">
      <c r="A110" s="88"/>
      <c r="B110" s="88"/>
      <c r="C110" s="88"/>
      <c r="D110" s="88"/>
      <c r="E110" s="88"/>
      <c r="F110" s="88"/>
      <c r="G110" s="88"/>
      <c r="H110" s="88"/>
      <c r="I110" s="88"/>
    </row>
    <row r="111" spans="1:9">
      <c r="A111" s="88"/>
      <c r="B111" s="88"/>
      <c r="C111" s="88"/>
      <c r="D111" s="88"/>
      <c r="E111" s="88"/>
      <c r="F111" s="88"/>
      <c r="G111" s="88"/>
      <c r="H111" s="88"/>
      <c r="I111" s="88"/>
    </row>
    <row r="112" spans="1:9">
      <c r="A112" s="88"/>
      <c r="B112" s="88"/>
      <c r="C112" s="88"/>
      <c r="D112" s="88"/>
      <c r="E112" s="88"/>
      <c r="F112" s="88"/>
      <c r="G112" s="88"/>
      <c r="H112" s="88"/>
      <c r="I112" s="88"/>
    </row>
    <row r="113" spans="1:9">
      <c r="A113" s="88"/>
      <c r="B113" s="88"/>
      <c r="C113" s="88"/>
      <c r="D113" s="88"/>
      <c r="E113" s="88"/>
      <c r="F113" s="88"/>
      <c r="G113" s="88"/>
      <c r="H113" s="88"/>
      <c r="I113" s="88"/>
    </row>
    <row r="114" spans="1:9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>
      <c r="A116" s="88"/>
      <c r="B116" s="88"/>
      <c r="C116" s="88"/>
      <c r="D116" s="88"/>
      <c r="E116" s="88"/>
      <c r="F116" s="88"/>
      <c r="G116" s="88"/>
      <c r="H116" s="88"/>
      <c r="I116" s="88"/>
    </row>
    <row r="117" spans="1:9">
      <c r="A117" s="88"/>
      <c r="B117" s="88"/>
      <c r="C117" s="88"/>
      <c r="D117" s="88"/>
      <c r="E117" s="88"/>
      <c r="F117" s="88"/>
      <c r="G117" s="88"/>
      <c r="H117" s="88"/>
      <c r="I117" s="88"/>
    </row>
    <row r="118" spans="1:9">
      <c r="A118" s="88"/>
      <c r="B118" s="88"/>
      <c r="C118" s="88"/>
      <c r="D118" s="88"/>
      <c r="E118" s="88"/>
      <c r="F118" s="88"/>
      <c r="G118" s="88"/>
      <c r="H118" s="88"/>
      <c r="I118" s="88"/>
    </row>
  </sheetData>
  <mergeCells count="15">
    <mergeCell ref="A1:I1"/>
    <mergeCell ref="C17:D17"/>
    <mergeCell ref="A47:B47"/>
    <mergeCell ref="A48:B48"/>
    <mergeCell ref="A49:B49"/>
    <mergeCell ref="A50:B50"/>
    <mergeCell ref="A4:B4"/>
    <mergeCell ref="A5:B5"/>
    <mergeCell ref="A6:B6"/>
    <mergeCell ref="A27:D27"/>
    <mergeCell ref="A42:C42"/>
    <mergeCell ref="A43:B43"/>
    <mergeCell ref="A44:B44"/>
    <mergeCell ref="A45:B45"/>
    <mergeCell ref="A46:B4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="150" zoomScaleNormal="150" zoomScalePageLayoutView="150" workbookViewId="0">
      <selection activeCell="I13" sqref="I13"/>
    </sheetView>
  </sheetViews>
  <sheetFormatPr baseColWidth="10" defaultColWidth="10.875" defaultRowHeight="12"/>
  <cols>
    <col min="1" max="1" width="10.875" style="69"/>
    <col min="2" max="2" width="8.625" style="69" customWidth="1"/>
    <col min="3" max="3" width="8.125" style="69" customWidth="1"/>
    <col min="4" max="4" width="7" style="69" customWidth="1"/>
    <col min="5" max="5" width="8.375" style="69" customWidth="1"/>
    <col min="6" max="6" width="2.5" style="5" customWidth="1"/>
    <col min="7" max="7" width="8.375" style="5" customWidth="1"/>
    <col min="8" max="8" width="9.5" style="5" customWidth="1"/>
    <col min="9" max="9" width="10.125" style="5" customWidth="1"/>
    <col min="10" max="16384" width="10.875" style="5"/>
  </cols>
  <sheetData>
    <row r="1" spans="1:9" ht="15">
      <c r="A1" s="175" t="s">
        <v>187</v>
      </c>
      <c r="B1" s="176"/>
      <c r="C1" s="176"/>
      <c r="D1" s="176"/>
      <c r="E1" s="177"/>
      <c r="F1" s="47"/>
      <c r="G1" s="170" t="s">
        <v>188</v>
      </c>
      <c r="H1" s="171"/>
      <c r="I1" s="48"/>
    </row>
    <row r="2" spans="1:9" ht="24">
      <c r="A2" s="59" t="s">
        <v>147</v>
      </c>
      <c r="B2" s="49" t="s">
        <v>189</v>
      </c>
      <c r="C2" s="60" t="s">
        <v>149</v>
      </c>
      <c r="D2" s="49" t="s">
        <v>150</v>
      </c>
      <c r="E2" s="117" t="s">
        <v>151</v>
      </c>
      <c r="F2" s="47"/>
      <c r="G2" s="49" t="s">
        <v>190</v>
      </c>
      <c r="H2" s="49" t="s">
        <v>191</v>
      </c>
      <c r="I2" s="48"/>
    </row>
    <row r="3" spans="1:9">
      <c r="A3" s="57" t="s">
        <v>192</v>
      </c>
      <c r="B3" s="55">
        <v>1</v>
      </c>
      <c r="C3" s="48">
        <v>0</v>
      </c>
      <c r="D3" s="55" t="s">
        <v>21</v>
      </c>
      <c r="E3" s="61">
        <v>80000</v>
      </c>
      <c r="F3" s="47"/>
      <c r="G3" s="50">
        <v>1</v>
      </c>
      <c r="H3" s="50" t="s">
        <v>193</v>
      </c>
      <c r="I3" s="48"/>
    </row>
    <row r="4" spans="1:9">
      <c r="A4" s="57" t="s">
        <v>194</v>
      </c>
      <c r="B4" s="55">
        <v>1</v>
      </c>
      <c r="C4" s="48">
        <v>0</v>
      </c>
      <c r="D4" s="55" t="s">
        <v>28</v>
      </c>
      <c r="E4" s="61">
        <v>230000</v>
      </c>
      <c r="F4" s="47"/>
      <c r="G4" s="50">
        <v>2</v>
      </c>
      <c r="H4" s="50" t="s">
        <v>195</v>
      </c>
      <c r="I4" s="48"/>
    </row>
    <row r="5" spans="1:9">
      <c r="A5" s="57" t="s">
        <v>196</v>
      </c>
      <c r="B5" s="55">
        <v>1</v>
      </c>
      <c r="C5" s="48">
        <v>0</v>
      </c>
      <c r="D5" s="55" t="s">
        <v>35</v>
      </c>
      <c r="E5" s="61">
        <v>280000</v>
      </c>
      <c r="F5" s="47"/>
      <c r="G5" s="48"/>
      <c r="H5" s="48"/>
      <c r="I5" s="48"/>
    </row>
    <row r="6" spans="1:9" ht="12.75">
      <c r="A6" s="57" t="s">
        <v>197</v>
      </c>
      <c r="B6" s="55">
        <v>1</v>
      </c>
      <c r="C6" s="48">
        <v>1</v>
      </c>
      <c r="D6" s="55" t="s">
        <v>35</v>
      </c>
      <c r="E6" s="61">
        <v>328000</v>
      </c>
      <c r="F6" s="47"/>
      <c r="G6" s="164" t="s">
        <v>198</v>
      </c>
      <c r="H6" s="165"/>
      <c r="I6" s="166"/>
    </row>
    <row r="7" spans="1:9">
      <c r="A7" s="57" t="s">
        <v>199</v>
      </c>
      <c r="B7" s="55">
        <v>1</v>
      </c>
      <c r="C7" s="48">
        <v>1</v>
      </c>
      <c r="D7" s="55" t="s">
        <v>35</v>
      </c>
      <c r="E7" s="61">
        <v>375000</v>
      </c>
      <c r="F7" s="47"/>
      <c r="G7" s="52" t="s">
        <v>160</v>
      </c>
      <c r="H7" s="51" t="s">
        <v>161</v>
      </c>
      <c r="I7" s="53" t="s">
        <v>163</v>
      </c>
    </row>
    <row r="8" spans="1:9">
      <c r="A8" s="57" t="s">
        <v>200</v>
      </c>
      <c r="B8" s="55">
        <v>1</v>
      </c>
      <c r="C8" s="48">
        <v>2</v>
      </c>
      <c r="D8" s="55" t="s">
        <v>35</v>
      </c>
      <c r="E8" s="61">
        <v>450000</v>
      </c>
      <c r="F8" s="47"/>
      <c r="G8" s="63">
        <v>1</v>
      </c>
      <c r="H8" s="64" t="s">
        <v>201</v>
      </c>
      <c r="I8" s="67">
        <v>30</v>
      </c>
    </row>
    <row r="9" spans="1:9">
      <c r="A9" s="57" t="s">
        <v>153</v>
      </c>
      <c r="B9" s="55">
        <v>1</v>
      </c>
      <c r="C9" s="48">
        <v>2</v>
      </c>
      <c r="D9" s="55" t="s">
        <v>35</v>
      </c>
      <c r="E9" s="61">
        <v>375000</v>
      </c>
      <c r="F9" s="47"/>
      <c r="G9" s="65">
        <v>2</v>
      </c>
      <c r="H9" s="66" t="s">
        <v>202</v>
      </c>
      <c r="I9" s="68">
        <v>35</v>
      </c>
    </row>
    <row r="10" spans="1:9">
      <c r="A10" s="57" t="s">
        <v>152</v>
      </c>
      <c r="B10" s="55">
        <v>1</v>
      </c>
      <c r="C10" s="48">
        <v>3</v>
      </c>
      <c r="D10" s="55" t="s">
        <v>28</v>
      </c>
      <c r="E10" s="61">
        <v>275000</v>
      </c>
      <c r="F10" s="47"/>
      <c r="G10" s="48"/>
      <c r="H10" s="48"/>
      <c r="I10" s="48"/>
    </row>
    <row r="11" spans="1:9" ht="12.75">
      <c r="A11" s="57" t="s">
        <v>203</v>
      </c>
      <c r="B11" s="55">
        <v>1</v>
      </c>
      <c r="C11" s="48">
        <v>3</v>
      </c>
      <c r="D11" s="55" t="s">
        <v>21</v>
      </c>
      <c r="E11" s="61">
        <v>120000</v>
      </c>
      <c r="F11" s="47"/>
      <c r="G11" s="167" t="s">
        <v>204</v>
      </c>
      <c r="H11" s="168"/>
      <c r="I11" s="169"/>
    </row>
    <row r="12" spans="1:9" ht="13.5">
      <c r="A12" s="57" t="s">
        <v>154</v>
      </c>
      <c r="B12" s="55">
        <v>1</v>
      </c>
      <c r="C12" s="48">
        <v>3</v>
      </c>
      <c r="D12" s="55" t="s">
        <v>28</v>
      </c>
      <c r="E12" s="61">
        <v>110000</v>
      </c>
      <c r="F12" s="47"/>
      <c r="G12" s="52" t="s">
        <v>205</v>
      </c>
      <c r="H12" s="51" t="s">
        <v>206</v>
      </c>
      <c r="I12" s="53" t="s">
        <v>207</v>
      </c>
    </row>
    <row r="13" spans="1:9">
      <c r="A13" s="57" t="s">
        <v>208</v>
      </c>
      <c r="B13" s="55">
        <v>2</v>
      </c>
      <c r="C13" s="48">
        <v>0</v>
      </c>
      <c r="D13" s="55" t="s">
        <v>21</v>
      </c>
      <c r="E13" s="61">
        <v>95000</v>
      </c>
      <c r="F13" s="47"/>
      <c r="G13" s="57" t="s">
        <v>168</v>
      </c>
      <c r="H13" s="55" t="s">
        <v>209</v>
      </c>
      <c r="I13" s="61">
        <v>15</v>
      </c>
    </row>
    <row r="14" spans="1:9">
      <c r="A14" s="57" t="s">
        <v>210</v>
      </c>
      <c r="B14" s="55">
        <v>2</v>
      </c>
      <c r="C14" s="48">
        <v>0</v>
      </c>
      <c r="D14" s="55" t="s">
        <v>28</v>
      </c>
      <c r="E14" s="61">
        <v>135000</v>
      </c>
      <c r="F14" s="47"/>
      <c r="G14" s="56" t="s">
        <v>169</v>
      </c>
      <c r="H14" s="54" t="s">
        <v>211</v>
      </c>
      <c r="I14" s="62">
        <v>20</v>
      </c>
    </row>
    <row r="15" spans="1:9">
      <c r="A15" s="57" t="s">
        <v>155</v>
      </c>
      <c r="B15" s="55">
        <v>2</v>
      </c>
      <c r="C15" s="48">
        <v>0</v>
      </c>
      <c r="D15" s="55" t="s">
        <v>35</v>
      </c>
      <c r="E15" s="61">
        <v>286000</v>
      </c>
      <c r="F15" s="47"/>
      <c r="G15" s="48"/>
      <c r="H15" s="48"/>
      <c r="I15" s="48"/>
    </row>
    <row r="16" spans="1:9">
      <c r="A16" s="57" t="s">
        <v>212</v>
      </c>
      <c r="B16" s="55">
        <v>2</v>
      </c>
      <c r="C16" s="48">
        <v>1</v>
      </c>
      <c r="D16" s="55" t="s">
        <v>35</v>
      </c>
      <c r="E16" s="61">
        <v>296000</v>
      </c>
      <c r="F16" s="47"/>
      <c r="G16" s="173" t="s">
        <v>213</v>
      </c>
      <c r="H16" s="174"/>
      <c r="I16" s="48"/>
    </row>
    <row r="17" spans="1:9">
      <c r="A17" s="56" t="s">
        <v>156</v>
      </c>
      <c r="B17" s="54">
        <v>2</v>
      </c>
      <c r="C17" s="58">
        <v>1</v>
      </c>
      <c r="D17" s="54" t="s">
        <v>35</v>
      </c>
      <c r="E17" s="62">
        <v>325000</v>
      </c>
      <c r="F17" s="47"/>
      <c r="G17" s="52" t="s">
        <v>214</v>
      </c>
      <c r="H17" s="51" t="s">
        <v>215</v>
      </c>
      <c r="I17" s="48"/>
    </row>
    <row r="18" spans="1:9">
      <c r="A18" s="48"/>
      <c r="B18" s="48"/>
      <c r="C18" s="48"/>
      <c r="D18" s="48"/>
      <c r="E18" s="48"/>
      <c r="F18" s="47"/>
      <c r="G18" s="57">
        <v>1</v>
      </c>
      <c r="H18" s="55">
        <v>3000</v>
      </c>
      <c r="I18" s="48"/>
    </row>
    <row r="19" spans="1:9">
      <c r="A19" s="182" t="s">
        <v>216</v>
      </c>
      <c r="B19" s="183"/>
      <c r="C19" s="184"/>
      <c r="D19" s="5"/>
      <c r="E19" s="48"/>
      <c r="F19" s="47"/>
      <c r="G19" s="56">
        <v>2</v>
      </c>
      <c r="H19" s="54">
        <v>2800</v>
      </c>
      <c r="I19" s="48"/>
    </row>
    <row r="20" spans="1:9" ht="15.95" customHeight="1">
      <c r="A20" s="185" t="s">
        <v>217</v>
      </c>
      <c r="B20" s="178" t="s">
        <v>218</v>
      </c>
      <c r="C20" s="180" t="s">
        <v>219</v>
      </c>
      <c r="D20" s="5"/>
      <c r="E20" s="48"/>
      <c r="F20" s="47"/>
      <c r="G20" s="48"/>
      <c r="H20" s="48"/>
      <c r="I20" s="48"/>
    </row>
    <row r="21" spans="1:9" ht="12.75">
      <c r="A21" s="186"/>
      <c r="B21" s="179"/>
      <c r="C21" s="181"/>
      <c r="D21" s="5"/>
      <c r="E21" s="48"/>
      <c r="F21" s="47"/>
      <c r="G21" s="172" t="s">
        <v>220</v>
      </c>
      <c r="H21" s="172"/>
      <c r="I21" s="172"/>
    </row>
    <row r="22" spans="1:9">
      <c r="A22" s="57">
        <v>0</v>
      </c>
      <c r="B22" s="120">
        <v>0</v>
      </c>
      <c r="C22" s="118">
        <v>0</v>
      </c>
      <c r="D22" s="5"/>
      <c r="E22" s="48"/>
      <c r="F22" s="47"/>
      <c r="G22" s="52" t="s">
        <v>214</v>
      </c>
      <c r="H22" s="51" t="s">
        <v>179</v>
      </c>
      <c r="I22" s="53" t="s">
        <v>180</v>
      </c>
    </row>
    <row r="23" spans="1:9">
      <c r="A23" s="57">
        <v>500000</v>
      </c>
      <c r="B23" s="120">
        <v>0.02</v>
      </c>
      <c r="C23" s="118">
        <v>0.01</v>
      </c>
      <c r="D23" s="5"/>
      <c r="E23" s="48"/>
      <c r="F23" s="47"/>
      <c r="G23" s="57">
        <v>1</v>
      </c>
      <c r="H23" s="55">
        <v>6000</v>
      </c>
      <c r="I23" s="61">
        <v>8000</v>
      </c>
    </row>
    <row r="24" spans="1:9">
      <c r="A24" s="56">
        <v>800000</v>
      </c>
      <c r="B24" s="121">
        <v>0.03</v>
      </c>
      <c r="C24" s="119">
        <v>0.01</v>
      </c>
      <c r="D24" s="5"/>
      <c r="E24" s="48"/>
      <c r="F24" s="47"/>
      <c r="G24" s="56">
        <v>2</v>
      </c>
      <c r="H24" s="54">
        <v>5500</v>
      </c>
      <c r="I24" s="62">
        <v>7500</v>
      </c>
    </row>
    <row r="25" spans="1:9">
      <c r="A25" s="48"/>
      <c r="B25" s="5"/>
      <c r="C25" s="5"/>
      <c r="D25" s="5"/>
      <c r="E25" s="48"/>
      <c r="F25" s="47"/>
      <c r="G25" s="47"/>
    </row>
    <row r="26" spans="1:9">
      <c r="A26" s="48"/>
      <c r="B26" s="5"/>
      <c r="C26" s="5"/>
      <c r="D26" s="5"/>
      <c r="E26" s="48"/>
      <c r="F26" s="47"/>
      <c r="G26" s="47"/>
    </row>
    <row r="27" spans="1:9">
      <c r="A27" s="48"/>
      <c r="B27" s="5"/>
      <c r="C27" s="5"/>
      <c r="D27" s="5"/>
      <c r="E27" s="48"/>
      <c r="F27" s="47"/>
      <c r="G27" s="47"/>
    </row>
    <row r="28" spans="1:9">
      <c r="A28" s="48"/>
      <c r="B28" s="5"/>
      <c r="C28" s="5"/>
      <c r="D28" s="5"/>
      <c r="E28" s="48"/>
      <c r="F28" s="47"/>
      <c r="G28" s="47"/>
    </row>
    <row r="29" spans="1:9">
      <c r="A29" s="48"/>
      <c r="B29" s="5"/>
      <c r="C29" s="5"/>
      <c r="D29" s="5"/>
      <c r="E29" s="48"/>
      <c r="F29" s="47"/>
      <c r="G29" s="47"/>
    </row>
    <row r="30" spans="1:9">
      <c r="A30" s="48"/>
      <c r="B30" s="5"/>
      <c r="C30" s="5"/>
      <c r="D30" s="5"/>
      <c r="E30" s="48"/>
      <c r="F30" s="47"/>
      <c r="G30" s="47"/>
    </row>
    <row r="31" spans="1:9">
      <c r="A31" s="48"/>
      <c r="B31" s="5"/>
      <c r="C31" s="5"/>
      <c r="D31" s="5"/>
      <c r="E31" s="48"/>
      <c r="F31" s="47"/>
      <c r="G31" s="47"/>
    </row>
    <row r="32" spans="1:9">
      <c r="A32" s="48"/>
      <c r="B32" s="5"/>
      <c r="C32" s="5"/>
      <c r="D32" s="5"/>
      <c r="E32" s="48"/>
      <c r="F32" s="47"/>
      <c r="G32" s="47"/>
    </row>
    <row r="33" spans="1:7">
      <c r="A33" s="48"/>
      <c r="B33" s="5"/>
      <c r="C33" s="5"/>
      <c r="D33" s="5"/>
      <c r="E33" s="48"/>
      <c r="F33" s="47"/>
    </row>
    <row r="34" spans="1:7">
      <c r="A34" s="48"/>
      <c r="B34" s="5"/>
      <c r="C34" s="5"/>
      <c r="D34" s="5"/>
      <c r="E34" s="48"/>
      <c r="F34" s="47"/>
    </row>
    <row r="35" spans="1:7">
      <c r="A35" s="48"/>
      <c r="B35" s="5"/>
      <c r="C35" s="5"/>
      <c r="D35" s="5"/>
      <c r="E35" s="48"/>
      <c r="F35" s="47"/>
    </row>
    <row r="36" spans="1:7">
      <c r="A36" s="48"/>
      <c r="B36" s="5"/>
      <c r="C36" s="5"/>
      <c r="D36" s="5"/>
      <c r="E36" s="48"/>
      <c r="F36" s="47"/>
    </row>
    <row r="37" spans="1:7">
      <c r="A37" s="48"/>
      <c r="B37" s="5"/>
      <c r="C37" s="5"/>
      <c r="D37" s="5"/>
      <c r="E37" s="48"/>
      <c r="F37" s="47"/>
      <c r="G37" s="47"/>
    </row>
    <row r="38" spans="1:7">
      <c r="A38" s="48"/>
      <c r="B38" s="5"/>
      <c r="C38" s="5"/>
      <c r="D38" s="5"/>
      <c r="E38" s="48"/>
      <c r="F38" s="47"/>
      <c r="G38" s="47"/>
    </row>
    <row r="39" spans="1:7" ht="14.1" customHeight="1">
      <c r="A39" s="48"/>
      <c r="B39" s="5"/>
      <c r="C39" s="5"/>
      <c r="D39" s="5"/>
      <c r="E39" s="48"/>
      <c r="F39" s="47"/>
    </row>
    <row r="40" spans="1:7">
      <c r="A40" s="48"/>
      <c r="B40" s="5"/>
      <c r="C40" s="5"/>
      <c r="D40" s="5"/>
      <c r="E40" s="48"/>
      <c r="F40" s="47"/>
    </row>
    <row r="41" spans="1:7">
      <c r="A41" s="48"/>
      <c r="B41" s="5"/>
      <c r="C41" s="5"/>
      <c r="D41" s="5"/>
      <c r="E41" s="48"/>
      <c r="F41" s="47"/>
    </row>
    <row r="42" spans="1:7">
      <c r="A42" s="48"/>
      <c r="B42" s="5"/>
      <c r="C42" s="5"/>
      <c r="D42" s="5"/>
      <c r="E42" s="48"/>
      <c r="F42" s="47"/>
    </row>
    <row r="43" spans="1:7">
      <c r="A43" s="48"/>
      <c r="B43" s="48"/>
      <c r="C43" s="48"/>
      <c r="D43" s="48"/>
      <c r="E43" s="48"/>
      <c r="F43" s="47"/>
      <c r="G43" s="47"/>
    </row>
  </sheetData>
  <mergeCells count="10">
    <mergeCell ref="A1:E1"/>
    <mergeCell ref="B20:B21"/>
    <mergeCell ref="C20:C21"/>
    <mergeCell ref="A19:C19"/>
    <mergeCell ref="A20:A21"/>
    <mergeCell ref="G6:I6"/>
    <mergeCell ref="G11:I11"/>
    <mergeCell ref="G1:H1"/>
    <mergeCell ref="G21:I21"/>
    <mergeCell ref="G16:H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b0c674-0edc-442b-96bf-3dd23e5f92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683BDBB2FCEC4098D9A19DF58A715E" ma:contentTypeVersion="6" ma:contentTypeDescription="Crée un document." ma:contentTypeScope="" ma:versionID="3a26ea0b22027c4415478f1d3f53b0da">
  <xsd:schema xmlns:xsd="http://www.w3.org/2001/XMLSchema" xmlns:xs="http://www.w3.org/2001/XMLSchema" xmlns:p="http://schemas.microsoft.com/office/2006/metadata/properties" xmlns:ns3="88b0c674-0edc-442b-96bf-3dd23e5f92a8" targetNamespace="http://schemas.microsoft.com/office/2006/metadata/properties" ma:root="true" ma:fieldsID="45002167cd3999ffa66e9ee930e20b16" ns3:_="">
    <xsd:import namespace="88b0c674-0edc-442b-96bf-3dd23e5f92a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0c674-0edc-442b-96bf-3dd23e5f92a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CF4878-A814-4853-B722-C9D292261D0E}">
  <ds:schemaRefs>
    <ds:schemaRef ds:uri="http://schemas.openxmlformats.org/package/2006/metadata/core-properties"/>
    <ds:schemaRef ds:uri="88b0c674-0edc-442b-96bf-3dd23e5f92a8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05BDA2-B686-4338-986A-810E74F77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00EE35-2646-43DA-9AB4-01FC8054E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b0c674-0edc-442b-96bf-3dd23e5f92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exo 1 fiche récapitulative</vt:lpstr>
      <vt:lpstr>exo 1 données</vt:lpstr>
      <vt:lpstr>cas2 - facture</vt:lpstr>
      <vt:lpstr>cas2  données</vt:lpstr>
      <vt:lpstr>cas 3 facturation</vt:lpstr>
      <vt:lpstr>cas 3 données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de Microsoft Office</dc:creator>
  <cp:keywords/>
  <dc:description/>
  <cp:lastModifiedBy>GOKKAYAK Berkant</cp:lastModifiedBy>
  <cp:revision/>
  <dcterms:created xsi:type="dcterms:W3CDTF">2015-12-12T07:12:42Z</dcterms:created>
  <dcterms:modified xsi:type="dcterms:W3CDTF">2024-12-13T10:18:00Z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0x010100ED683BDBB2FCEC4098D9A19DF58A715E</vt:lpwstr>
  </property>
  <property fmtid="{D5CDD505-2E9C-101B-9397-08002B2CF9AE}" pid="3" name="MediaServiceImageTags">
    <vt:lpwstr/>
  </property>
</Properties>
</file>